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yagw-my.sharepoint.com/personal/rehaa_hoya_com/Documents/ドキュメント/HOYA/HLCZ/IOL/Bulletin business case/"/>
    </mc:Choice>
  </mc:AlternateContent>
  <xr:revisionPtr revIDLastSave="206" documentId="14_{A9D115DC-223B-44E0-A3E6-76889C3DFBF9}" xr6:coauthVersionLast="47" xr6:coauthVersionMax="47" xr10:uidLastSave="{E5C1F9A2-2B42-45D5-B47B-D19F79B64241}"/>
  <bookViews>
    <workbookView xWindow="-104" yWindow="-104" windowWidth="22326" windowHeight="12200" xr2:uid="{DD89325D-4688-42DC-B6BF-F6E84DF1645C}"/>
  </bookViews>
  <sheets>
    <sheet name="P&amp;L market units" sheetId="3" r:id="rId1"/>
    <sheet name="Sales-ASP est" sheetId="4" r:id="rId2"/>
    <sheet name="CAPEX" sheetId="6" r:id="rId3"/>
    <sheet name="Warehouse in Prague" sheetId="2" r:id="rId4"/>
    <sheet name="Graphs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" i="3" l="1"/>
  <c r="M3" i="3"/>
  <c r="K3" i="3"/>
  <c r="I3" i="3"/>
  <c r="G3" i="3"/>
  <c r="AD14" i="4"/>
  <c r="X14" i="4"/>
  <c r="R14" i="4"/>
  <c r="L14" i="4"/>
  <c r="D59" i="3"/>
  <c r="K59" i="3" s="1"/>
  <c r="M59" i="3" s="1"/>
  <c r="O59" i="3" s="1"/>
  <c r="D60" i="3"/>
  <c r="K60" i="3" s="1"/>
  <c r="M60" i="3" s="1"/>
  <c r="O60" i="3" s="1"/>
  <c r="F15" i="4"/>
  <c r="F20" i="4"/>
  <c r="F19" i="4"/>
  <c r="F18" i="4"/>
  <c r="F17" i="4"/>
  <c r="F16" i="4"/>
  <c r="AC21" i="4"/>
  <c r="W21" i="4"/>
  <c r="Q21" i="4"/>
  <c r="K21" i="4"/>
  <c r="E21" i="4"/>
  <c r="C16" i="2" l="1"/>
  <c r="D16" i="2" s="1"/>
  <c r="G2" i="3"/>
  <c r="D39" i="3"/>
  <c r="I39" i="3" s="1"/>
  <c r="K39" i="3" s="1"/>
  <c r="M39" i="3" s="1"/>
  <c r="O39" i="3" s="1"/>
  <c r="N19" i="6"/>
  <c r="L19" i="6"/>
  <c r="J19" i="6"/>
  <c r="H19" i="6"/>
  <c r="B8" i="6"/>
  <c r="B7" i="6"/>
  <c r="B6" i="6"/>
  <c r="H3" i="7"/>
  <c r="D61" i="3"/>
  <c r="O61" i="3" s="1"/>
  <c r="D41" i="3"/>
  <c r="I41" i="3" s="1"/>
  <c r="K41" i="3" s="1"/>
  <c r="M41" i="3" s="1"/>
  <c r="O41" i="3" s="1"/>
  <c r="E4" i="3"/>
  <c r="E67" i="3" l="1"/>
  <c r="G39" i="3"/>
  <c r="G4" i="3"/>
  <c r="N21" i="6"/>
  <c r="O65" i="3" s="1"/>
  <c r="K61" i="3"/>
  <c r="M61" i="3"/>
  <c r="G41" i="3"/>
  <c r="C3" i="6"/>
  <c r="D46" i="3"/>
  <c r="K2" i="3"/>
  <c r="O2" i="3"/>
  <c r="M2" i="3"/>
  <c r="I2" i="3"/>
  <c r="C2" i="7" l="1"/>
  <c r="M4" i="3"/>
  <c r="F2" i="7" s="1"/>
  <c r="C8" i="6"/>
  <c r="C7" i="6"/>
  <c r="C6" i="6"/>
  <c r="G46" i="3"/>
  <c r="I46" i="3" s="1"/>
  <c r="K46" i="3" s="1"/>
  <c r="M46" i="3" s="1"/>
  <c r="O46" i="3" s="1"/>
  <c r="E46" i="3"/>
  <c r="C14" i="6"/>
  <c r="F21" i="6"/>
  <c r="D21" i="6"/>
  <c r="F9" i="4"/>
  <c r="F10" i="4"/>
  <c r="AD10" i="4"/>
  <c r="AD9" i="4"/>
  <c r="AD8" i="4"/>
  <c r="AD7" i="4"/>
  <c r="AD6" i="4"/>
  <c r="AD5" i="4"/>
  <c r="X5" i="4"/>
  <c r="AC11" i="4"/>
  <c r="X10" i="4"/>
  <c r="X9" i="4"/>
  <c r="X8" i="4"/>
  <c r="X7" i="4"/>
  <c r="X6" i="4"/>
  <c r="W11" i="4"/>
  <c r="R10" i="4"/>
  <c r="R9" i="4"/>
  <c r="R8" i="4"/>
  <c r="R7" i="4"/>
  <c r="R6" i="4"/>
  <c r="R5" i="4"/>
  <c r="Q11" i="4"/>
  <c r="L10" i="4"/>
  <c r="L9" i="4"/>
  <c r="L8" i="4"/>
  <c r="L7" i="4"/>
  <c r="L6" i="4"/>
  <c r="L5" i="4"/>
  <c r="K11" i="4"/>
  <c r="X19" i="4" l="1"/>
  <c r="X18" i="4"/>
  <c r="X20" i="4"/>
  <c r="X17" i="4"/>
  <c r="X16" i="4"/>
  <c r="X15" i="4"/>
  <c r="K4" i="3"/>
  <c r="E2" i="7" s="1"/>
  <c r="O4" i="3"/>
  <c r="G2" i="7" s="1"/>
  <c r="I4" i="3"/>
  <c r="D2" i="7" s="1"/>
  <c r="N8" i="6"/>
  <c r="H8" i="6"/>
  <c r="L8" i="6"/>
  <c r="F8" i="6"/>
  <c r="J8" i="6"/>
  <c r="C17" i="6"/>
  <c r="C18" i="6"/>
  <c r="H18" i="6" s="1"/>
  <c r="L6" i="6"/>
  <c r="J6" i="6"/>
  <c r="N6" i="6"/>
  <c r="H6" i="6"/>
  <c r="F6" i="6"/>
  <c r="J7" i="6"/>
  <c r="N7" i="6"/>
  <c r="L7" i="6"/>
  <c r="H7" i="6"/>
  <c r="F7" i="6"/>
  <c r="D10" i="6"/>
  <c r="E55" i="3" s="1"/>
  <c r="AD25" i="4"/>
  <c r="Z23" i="4"/>
  <c r="T23" i="4"/>
  <c r="N23" i="4"/>
  <c r="D49" i="3"/>
  <c r="D48" i="3"/>
  <c r="E48" i="3" s="1"/>
  <c r="D47" i="3"/>
  <c r="D45" i="3"/>
  <c r="D44" i="3"/>
  <c r="D43" i="3"/>
  <c r="D42" i="3"/>
  <c r="D40" i="3"/>
  <c r="G40" i="3" s="1"/>
  <c r="I40" i="3" s="1"/>
  <c r="K40" i="3" s="1"/>
  <c r="M40" i="3" s="1"/>
  <c r="O40" i="3" s="1"/>
  <c r="D38" i="3"/>
  <c r="D37" i="3"/>
  <c r="D36" i="3"/>
  <c r="G36" i="3" s="1"/>
  <c r="O35" i="3"/>
  <c r="O6" i="3"/>
  <c r="M35" i="3"/>
  <c r="K35" i="3"/>
  <c r="I35" i="3"/>
  <c r="G35" i="3"/>
  <c r="E35" i="3"/>
  <c r="M6" i="3"/>
  <c r="K6" i="3"/>
  <c r="I6" i="3"/>
  <c r="G6" i="3"/>
  <c r="E6" i="3"/>
  <c r="C5" i="4"/>
  <c r="AE5" i="4" s="1"/>
  <c r="F5" i="4"/>
  <c r="C6" i="4"/>
  <c r="F6" i="4"/>
  <c r="C7" i="4"/>
  <c r="F7" i="4"/>
  <c r="C8" i="4"/>
  <c r="F8" i="4"/>
  <c r="C9" i="4"/>
  <c r="C10" i="4"/>
  <c r="E11" i="4"/>
  <c r="C15" i="4"/>
  <c r="C16" i="4"/>
  <c r="C17" i="4"/>
  <c r="C18" i="4"/>
  <c r="C19" i="4"/>
  <c r="C20" i="4"/>
  <c r="H10" i="6" l="1"/>
  <c r="I55" i="3" s="1"/>
  <c r="L10" i="6"/>
  <c r="M55" i="3" s="1"/>
  <c r="G44" i="3"/>
  <c r="I44" i="3"/>
  <c r="K44" i="3" s="1"/>
  <c r="M44" i="3" s="1"/>
  <c r="O44" i="3" s="1"/>
  <c r="N10" i="6"/>
  <c r="O55" i="3" s="1"/>
  <c r="I37" i="3"/>
  <c r="K37" i="3" s="1"/>
  <c r="M37" i="3" s="1"/>
  <c r="O37" i="3" s="1"/>
  <c r="G37" i="3"/>
  <c r="F10" i="6"/>
  <c r="G55" i="3" s="1"/>
  <c r="J10" i="6"/>
  <c r="K55" i="3" s="1"/>
  <c r="G38" i="3"/>
  <c r="I38" i="3"/>
  <c r="G42" i="3"/>
  <c r="I42" i="3"/>
  <c r="AD20" i="4"/>
  <c r="AE20" i="4" s="1"/>
  <c r="AD19" i="4"/>
  <c r="AE19" i="4" s="1"/>
  <c r="AD18" i="4"/>
  <c r="AE18" i="4" s="1"/>
  <c r="AD17" i="4"/>
  <c r="AE17" i="4" s="1"/>
  <c r="AD15" i="4"/>
  <c r="AE15" i="4" s="1"/>
  <c r="AD16" i="4"/>
  <c r="AE16" i="4" s="1"/>
  <c r="R17" i="4"/>
  <c r="S17" i="4" s="1"/>
  <c r="R16" i="4"/>
  <c r="S16" i="4" s="1"/>
  <c r="R15" i="4"/>
  <c r="S15" i="4" s="1"/>
  <c r="R18" i="4"/>
  <c r="S18" i="4" s="1"/>
  <c r="R20" i="4"/>
  <c r="S20" i="4" s="1"/>
  <c r="R19" i="4"/>
  <c r="S19" i="4" s="1"/>
  <c r="L15" i="4"/>
  <c r="M15" i="4" s="1"/>
  <c r="L20" i="4"/>
  <c r="M20" i="4" s="1"/>
  <c r="L19" i="4"/>
  <c r="M19" i="4" s="1"/>
  <c r="L18" i="4"/>
  <c r="M18" i="4" s="1"/>
  <c r="L17" i="4"/>
  <c r="M17" i="4" s="1"/>
  <c r="L16" i="4"/>
  <c r="M16" i="4" s="1"/>
  <c r="Y20" i="4"/>
  <c r="G20" i="4"/>
  <c r="G19" i="4"/>
  <c r="Y19" i="4"/>
  <c r="Y16" i="4"/>
  <c r="G16" i="4"/>
  <c r="Y18" i="4"/>
  <c r="G18" i="4"/>
  <c r="G17" i="4"/>
  <c r="Y17" i="4"/>
  <c r="G15" i="4"/>
  <c r="Y15" i="4"/>
  <c r="M7" i="4"/>
  <c r="S7" i="4"/>
  <c r="Y7" i="4"/>
  <c r="AE7" i="4"/>
  <c r="Y6" i="4"/>
  <c r="M6" i="4"/>
  <c r="S6" i="4"/>
  <c r="AE6" i="4"/>
  <c r="S10" i="4"/>
  <c r="M10" i="4"/>
  <c r="Y10" i="4"/>
  <c r="AE10" i="4"/>
  <c r="AE9" i="4"/>
  <c r="S9" i="4"/>
  <c r="M9" i="4"/>
  <c r="Y9" i="4"/>
  <c r="M5" i="4"/>
  <c r="S5" i="4"/>
  <c r="M8" i="4"/>
  <c r="S8" i="4"/>
  <c r="AE8" i="4"/>
  <c r="Y8" i="4"/>
  <c r="Y5" i="4"/>
  <c r="I36" i="3"/>
  <c r="K36" i="3" s="1"/>
  <c r="M36" i="3" s="1"/>
  <c r="O36" i="3" s="1"/>
  <c r="L17" i="6"/>
  <c r="L21" i="6" s="1"/>
  <c r="M65" i="3" s="1"/>
  <c r="J17" i="6"/>
  <c r="J21" i="6" s="1"/>
  <c r="K65" i="3" s="1"/>
  <c r="H17" i="6"/>
  <c r="H21" i="6" s="1"/>
  <c r="I65" i="3" s="1"/>
  <c r="E45" i="3"/>
  <c r="G45" i="3"/>
  <c r="I45" i="3" s="1"/>
  <c r="K45" i="3" s="1"/>
  <c r="M45" i="3" s="1"/>
  <c r="O45" i="3" s="1"/>
  <c r="K42" i="3"/>
  <c r="I43" i="3"/>
  <c r="K43" i="3" s="1"/>
  <c r="M43" i="3" s="1"/>
  <c r="O43" i="3" s="1"/>
  <c r="G43" i="3"/>
  <c r="K38" i="3"/>
  <c r="M38" i="3" s="1"/>
  <c r="O38" i="3" s="1"/>
  <c r="O48" i="3"/>
  <c r="M48" i="3"/>
  <c r="K48" i="3"/>
  <c r="I48" i="3"/>
  <c r="G48" i="3"/>
  <c r="G49" i="3"/>
  <c r="E49" i="3"/>
  <c r="E47" i="3"/>
  <c r="G47" i="3"/>
  <c r="I47" i="3" s="1"/>
  <c r="K47" i="3" s="1"/>
  <c r="M47" i="3" s="1"/>
  <c r="O47" i="3" s="1"/>
  <c r="G6" i="4"/>
  <c r="G7" i="4"/>
  <c r="G5" i="4"/>
  <c r="G8" i="4"/>
  <c r="G10" i="4"/>
  <c r="G9" i="4"/>
  <c r="M42" i="3"/>
  <c r="O42" i="3"/>
  <c r="Y21" i="4" l="1"/>
  <c r="Z21" i="4" s="1"/>
  <c r="AA21" i="4" s="1"/>
  <c r="M7" i="3" s="1"/>
  <c r="M13" i="3" s="1"/>
  <c r="M21" i="4"/>
  <c r="N21" i="4" s="1"/>
  <c r="O21" i="4" s="1"/>
  <c r="I7" i="3" s="1"/>
  <c r="I13" i="3" s="1"/>
  <c r="G21" i="4"/>
  <c r="H21" i="4" s="1"/>
  <c r="I21" i="4" s="1"/>
  <c r="S21" i="4"/>
  <c r="T21" i="4" s="1"/>
  <c r="U21" i="4" s="1"/>
  <c r="K7" i="3" s="1"/>
  <c r="K13" i="3" s="1"/>
  <c r="AE21" i="4"/>
  <c r="AF21" i="4" s="1"/>
  <c r="AG21" i="4" s="1"/>
  <c r="O7" i="3" s="1"/>
  <c r="O13" i="3" s="1"/>
  <c r="I49" i="3"/>
  <c r="S11" i="4"/>
  <c r="T11" i="4" s="1"/>
  <c r="U11" i="4" s="1"/>
  <c r="K5" i="3" s="1"/>
  <c r="Y11" i="4"/>
  <c r="Z11" i="4" s="1"/>
  <c r="AA11" i="4" s="1"/>
  <c r="M5" i="3" s="1"/>
  <c r="AE11" i="4"/>
  <c r="AF11" i="4" s="1"/>
  <c r="AG11" i="4" s="1"/>
  <c r="O5" i="3" s="1"/>
  <c r="M11" i="4"/>
  <c r="N11" i="4" s="1"/>
  <c r="O11" i="4" s="1"/>
  <c r="I5" i="3" s="1"/>
  <c r="G11" i="4"/>
  <c r="H11" i="4" s="1"/>
  <c r="I11" i="4" s="1"/>
  <c r="C6" i="2"/>
  <c r="D6" i="2" s="1"/>
  <c r="E6" i="2" s="1"/>
  <c r="F6" i="2" s="1"/>
  <c r="G6" i="2" s="1"/>
  <c r="C5" i="2"/>
  <c r="D5" i="2" s="1"/>
  <c r="E5" i="2" s="1"/>
  <c r="F5" i="2" s="1"/>
  <c r="G5" i="2" s="1"/>
  <c r="C3" i="2"/>
  <c r="D3" i="2" s="1"/>
  <c r="E3" i="2" s="1"/>
  <c r="F3" i="2" s="1"/>
  <c r="G3" i="2" s="1"/>
  <c r="M63" i="3" l="1"/>
  <c r="F3" i="7"/>
  <c r="L3" i="7" s="1"/>
  <c r="O51" i="3"/>
  <c r="K51" i="3"/>
  <c r="I51" i="3"/>
  <c r="M53" i="3"/>
  <c r="M51" i="3"/>
  <c r="K49" i="3"/>
  <c r="G5" i="3"/>
  <c r="G13" i="3" s="1"/>
  <c r="E51" i="3"/>
  <c r="I63" i="3" l="1"/>
  <c r="D3" i="7"/>
  <c r="J3" i="7" s="1"/>
  <c r="O63" i="3"/>
  <c r="G3" i="7"/>
  <c r="M3" i="7" s="1"/>
  <c r="K63" i="3"/>
  <c r="E3" i="7"/>
  <c r="K3" i="7" s="1"/>
  <c r="I53" i="3"/>
  <c r="I62" i="3"/>
  <c r="G62" i="3"/>
  <c r="O62" i="3"/>
  <c r="M62" i="3"/>
  <c r="K62" i="3"/>
  <c r="G51" i="3"/>
  <c r="M52" i="3"/>
  <c r="N13" i="3"/>
  <c r="M16" i="3"/>
  <c r="M20" i="3" s="1"/>
  <c r="P13" i="3"/>
  <c r="O53" i="3"/>
  <c r="K53" i="3"/>
  <c r="K16" i="3"/>
  <c r="M49" i="3"/>
  <c r="K52" i="3"/>
  <c r="O52" i="3"/>
  <c r="O16" i="3"/>
  <c r="I52" i="3"/>
  <c r="L13" i="3"/>
  <c r="I16" i="3"/>
  <c r="E13" i="3"/>
  <c r="E20" i="3" s="1"/>
  <c r="G63" i="3" l="1"/>
  <c r="G67" i="3" s="1"/>
  <c r="C3" i="7"/>
  <c r="I3" i="7" s="1"/>
  <c r="G53" i="3"/>
  <c r="L16" i="3"/>
  <c r="N16" i="3"/>
  <c r="P16" i="3"/>
  <c r="K20" i="3"/>
  <c r="K21" i="3" s="1"/>
  <c r="O49" i="3"/>
  <c r="O20" i="3"/>
  <c r="O21" i="3" s="1"/>
  <c r="M21" i="3"/>
  <c r="I20" i="3"/>
  <c r="G52" i="3"/>
  <c r="J13" i="3"/>
  <c r="G16" i="3"/>
  <c r="N20" i="3" l="1"/>
  <c r="L20" i="3"/>
  <c r="P20" i="3"/>
  <c r="I21" i="3"/>
  <c r="G20" i="3"/>
  <c r="J16" i="3"/>
  <c r="G21" i="3" l="1"/>
  <c r="J20" i="3"/>
  <c r="B7" i="2" l="1"/>
  <c r="E50" i="3" s="1"/>
  <c r="C4" i="2"/>
  <c r="C7" i="2" s="1"/>
  <c r="G50" i="3" s="1"/>
  <c r="D4" i="2" l="1"/>
  <c r="E4" i="2" s="1"/>
  <c r="E57" i="3"/>
  <c r="G57" i="3"/>
  <c r="D7" i="2" l="1"/>
  <c r="H57" i="3"/>
  <c r="G69" i="3"/>
  <c r="E22" i="3"/>
  <c r="E23" i="3" s="1"/>
  <c r="E27" i="3" s="1"/>
  <c r="E29" i="3" s="1"/>
  <c r="E69" i="3"/>
  <c r="B4" i="7" s="1"/>
  <c r="G22" i="3"/>
  <c r="F4" i="2"/>
  <c r="E7" i="2"/>
  <c r="K50" i="3" s="1"/>
  <c r="I50" i="3" l="1"/>
  <c r="E25" i="3"/>
  <c r="B5" i="7" s="1"/>
  <c r="G25" i="3"/>
  <c r="C4" i="7"/>
  <c r="C6" i="7" s="1"/>
  <c r="H69" i="3"/>
  <c r="E30" i="3"/>
  <c r="E31" i="3" s="1"/>
  <c r="H22" i="3"/>
  <c r="G23" i="3"/>
  <c r="G4" i="2"/>
  <c r="G7" i="2" s="1"/>
  <c r="O50" i="3" s="1"/>
  <c r="F7" i="2"/>
  <c r="M50" i="3" s="1"/>
  <c r="G26" i="3" l="1"/>
  <c r="C5" i="7"/>
  <c r="C7" i="7" s="1"/>
  <c r="G27" i="3"/>
  <c r="G24" i="3"/>
  <c r="H23" i="3"/>
  <c r="G29" i="3" l="1"/>
  <c r="G28" i="3"/>
  <c r="H27" i="3"/>
  <c r="G30" i="3" l="1"/>
  <c r="G31" i="3" s="1"/>
  <c r="H29" i="3"/>
  <c r="G32" i="3" l="1"/>
  <c r="H31" i="3"/>
  <c r="M57" i="3"/>
  <c r="O57" i="3"/>
  <c r="I57" i="3"/>
  <c r="K57" i="3"/>
  <c r="I67" i="3" l="1"/>
  <c r="I69" i="3" s="1"/>
  <c r="O22" i="3"/>
  <c r="O23" i="3" s="1"/>
  <c r="O24" i="3" s="1"/>
  <c r="N57" i="3"/>
  <c r="P57" i="3"/>
  <c r="I22" i="3"/>
  <c r="J57" i="3"/>
  <c r="M22" i="3"/>
  <c r="L57" i="3"/>
  <c r="K22" i="3"/>
  <c r="D4" i="7" l="1"/>
  <c r="D6" i="7" s="1"/>
  <c r="J69" i="3"/>
  <c r="I25" i="3"/>
  <c r="D5" i="7" s="1"/>
  <c r="D7" i="7" s="1"/>
  <c r="O27" i="3"/>
  <c r="O28" i="3" s="1"/>
  <c r="P22" i="3"/>
  <c r="J22" i="3"/>
  <c r="I23" i="3"/>
  <c r="M23" i="3"/>
  <c r="N22" i="3"/>
  <c r="K23" i="3"/>
  <c r="L22" i="3"/>
  <c r="J25" i="3" l="1"/>
  <c r="I26" i="3"/>
  <c r="O29" i="3"/>
  <c r="O30" i="3" s="1"/>
  <c r="O31" i="3" s="1"/>
  <c r="I24" i="3"/>
  <c r="J23" i="3"/>
  <c r="I27" i="3"/>
  <c r="L23" i="3"/>
  <c r="K27" i="3"/>
  <c r="K24" i="3"/>
  <c r="M24" i="3"/>
  <c r="N23" i="3"/>
  <c r="P23" i="3"/>
  <c r="M27" i="3"/>
  <c r="I28" i="3" l="1"/>
  <c r="J27" i="3"/>
  <c r="I29" i="3"/>
  <c r="L27" i="3"/>
  <c r="K28" i="3"/>
  <c r="K29" i="3"/>
  <c r="O32" i="3"/>
  <c r="M29" i="3"/>
  <c r="N27" i="3"/>
  <c r="M28" i="3"/>
  <c r="P27" i="3"/>
  <c r="J29" i="3" l="1"/>
  <c r="I30" i="3"/>
  <c r="I31" i="3" s="1"/>
  <c r="L29" i="3"/>
  <c r="K30" i="3"/>
  <c r="K31" i="3" s="1"/>
  <c r="N29" i="3"/>
  <c r="M30" i="3"/>
  <c r="M31" i="3" s="1"/>
  <c r="P29" i="3"/>
  <c r="I32" i="3" l="1"/>
  <c r="J31" i="3"/>
  <c r="L31" i="3"/>
  <c r="K32" i="3"/>
  <c r="N31" i="3"/>
  <c r="M32" i="3"/>
  <c r="P31" i="3"/>
  <c r="M67" i="3" l="1"/>
  <c r="K67" i="3"/>
  <c r="O67" i="3"/>
  <c r="M69" i="3" l="1"/>
  <c r="N67" i="3"/>
  <c r="K69" i="3"/>
  <c r="L67" i="3"/>
  <c r="O69" i="3"/>
  <c r="P67" i="3"/>
  <c r="O25" i="3" l="1"/>
  <c r="P69" i="3"/>
  <c r="G4" i="7"/>
  <c r="G6" i="7" s="1"/>
  <c r="M25" i="3"/>
  <c r="F4" i="7"/>
  <c r="F6" i="7" s="1"/>
  <c r="N69" i="3"/>
  <c r="E4" i="7"/>
  <c r="E6" i="7" s="1"/>
  <c r="L69" i="3"/>
  <c r="K25" i="3"/>
  <c r="E5" i="7" l="1"/>
  <c r="E7" i="7" s="1"/>
  <c r="K26" i="3"/>
  <c r="L25" i="3"/>
  <c r="O26" i="3"/>
  <c r="P25" i="3"/>
  <c r="G5" i="7"/>
  <c r="G7" i="7" s="1"/>
  <c r="F5" i="7"/>
  <c r="F7" i="7" s="1"/>
  <c r="M26" i="3"/>
  <c r="N25" i="3"/>
</calcChain>
</file>

<file path=xl/sharedStrings.xml><?xml version="1.0" encoding="utf-8"?>
<sst xmlns="http://schemas.openxmlformats.org/spreadsheetml/2006/main" count="271" uniqueCount="160">
  <si>
    <t>Financial Plan</t>
  </si>
  <si>
    <t>FY</t>
  </si>
  <si>
    <t>Change</t>
  </si>
  <si>
    <t>vs prior FY</t>
  </si>
  <si>
    <t>Net sales</t>
  </si>
  <si>
    <t>Cost of Sales</t>
  </si>
  <si>
    <t>Fixed Cost</t>
    <phoneticPr fontId="0"/>
  </si>
  <si>
    <t>Other</t>
    <phoneticPr fontId="0"/>
  </si>
  <si>
    <t>Gross Profit</t>
    <phoneticPr fontId="0"/>
  </si>
  <si>
    <t>(%)</t>
    <phoneticPr fontId="0"/>
  </si>
  <si>
    <t>－</t>
  </si>
  <si>
    <t>SG&amp;A</t>
    <phoneticPr fontId="0"/>
  </si>
  <si>
    <t>Ordinary Profit</t>
    <phoneticPr fontId="0"/>
  </si>
  <si>
    <r>
      <rPr>
        <sz val="11"/>
        <color indexed="8"/>
        <rFont val="Tahoma"/>
        <family val="2"/>
        <charset val="238"/>
      </rPr>
      <t>－</t>
    </r>
  </si>
  <si>
    <t>Income Before Income tax</t>
    <phoneticPr fontId="0"/>
  </si>
  <si>
    <t>Corporate Tax</t>
    <phoneticPr fontId="0"/>
  </si>
  <si>
    <t>Net Income</t>
    <phoneticPr fontId="0"/>
  </si>
  <si>
    <t>inflation rate</t>
  </si>
  <si>
    <t>SG&amp;A in TCZK</t>
  </si>
  <si>
    <t>Monthly</t>
  </si>
  <si>
    <t>2 months</t>
  </si>
  <si>
    <t>Travel expense</t>
  </si>
  <si>
    <t>Amounts in TCZK</t>
  </si>
  <si>
    <t>Rental costs of warehouse</t>
  </si>
  <si>
    <t>gross 25 TCZK +34% contrib.</t>
  </si>
  <si>
    <t>Depreciation of CAPEX</t>
  </si>
  <si>
    <t>depreciation of PC, printer, other equipment..</t>
  </si>
  <si>
    <t xml:space="preserve">IT expense </t>
  </si>
  <si>
    <t>rozloha skladu cca 100 m2?</t>
  </si>
  <si>
    <t>CS representaitive</t>
  </si>
  <si>
    <t>Cataract operations CZ (units)</t>
  </si>
  <si>
    <t>Samples</t>
  </si>
  <si>
    <t>Trifocal Toric                              750e</t>
  </si>
  <si>
    <t>Trifocal                                            600</t>
  </si>
  <si>
    <t>Monofocal enhanced              120e</t>
  </si>
  <si>
    <t>Monofocal Toric                       250</t>
  </si>
  <si>
    <t>Monofocal preloaded              110e</t>
  </si>
  <si>
    <t>Monofocal                                     95e</t>
  </si>
  <si>
    <t>Predajne ceny SK (nasa marza 35%) + pristroj bundling</t>
  </si>
  <si>
    <t>Trifocal Toric                              650e</t>
  </si>
  <si>
    <t>Trifocal                                            500</t>
  </si>
  <si>
    <t>Monofocal enhanced              80-105e</t>
  </si>
  <si>
    <t>Monofocal Toric                       200</t>
  </si>
  <si>
    <t>Monofocal preloaded              70-80e</t>
  </si>
  <si>
    <t>Monofocal                                     65e</t>
  </si>
  <si>
    <t>Share</t>
  </si>
  <si>
    <t>(CZK)</t>
  </si>
  <si>
    <t>(EUR)</t>
  </si>
  <si>
    <t>ASP (CZK)</t>
  </si>
  <si>
    <t>Sales (CZK)</t>
  </si>
  <si>
    <t>Sales pcs</t>
  </si>
  <si>
    <t>Cena</t>
  </si>
  <si>
    <t>All figures in TEUR</t>
  </si>
  <si>
    <t>3 months</t>
  </si>
  <si>
    <t>EUR/CZK</t>
  </si>
  <si>
    <t>200 pcs</t>
  </si>
  <si>
    <t>150 pcs</t>
  </si>
  <si>
    <t>100 pcs</t>
  </si>
  <si>
    <t>n/a</t>
  </si>
  <si>
    <t>ASP (EUR)</t>
  </si>
  <si>
    <t>Sales prices CZ (nasa marza 35%)</t>
  </si>
  <si>
    <t>European avg is 80-90 EUR for mono preloaded</t>
  </si>
  <si>
    <t>For mono toric 150- 170 EUR</t>
  </si>
  <si>
    <t>toric total market presentation is 4%</t>
  </si>
  <si>
    <t>trifocal mkt estimation for CZ is 6000 pcs in 2030</t>
  </si>
  <si>
    <t>trifocal HSO estimation 15% mkt share, challenging 20%</t>
  </si>
  <si>
    <t>enhanced up to 1000 pcs/year</t>
  </si>
  <si>
    <t>Mkt share</t>
  </si>
  <si>
    <t>9 months</t>
  </si>
  <si>
    <t>enhanced 60% max</t>
  </si>
  <si>
    <t>Special prices for spec deals possible?</t>
  </si>
  <si>
    <t>65:35 trifocal:trifocal toric</t>
  </si>
  <si>
    <t>1200 pcs in Trifocals together</t>
  </si>
  <si>
    <t>Mono enhanced too optimistic - around 10 000 pcs</t>
  </si>
  <si>
    <t>2027-2030</t>
  </si>
  <si>
    <t xml:space="preserve">145000 in 2030 </t>
  </si>
  <si>
    <t>Synergy</t>
  </si>
  <si>
    <t>experts, KOL network sharing</t>
  </si>
  <si>
    <t>market reputation</t>
  </si>
  <si>
    <t>bundling deals spectacle lenses</t>
  </si>
  <si>
    <t>bundling deals instrumentation</t>
  </si>
  <si>
    <t>how many sales goes to key accounts -20%, how many to the rest</t>
  </si>
  <si>
    <t>CAPEX investments assumption include to the business case</t>
  </si>
  <si>
    <t>Unmet need - doctors look for instrumentation from lens companies not from instrumentation companies only</t>
  </si>
  <si>
    <t>congresses (CSRKCH)</t>
  </si>
  <si>
    <t>CAPEX investments</t>
  </si>
  <si>
    <t>Notebook</t>
  </si>
  <si>
    <t>Diagnostic equipment</t>
  </si>
  <si>
    <t>iPad, iPhone</t>
  </si>
  <si>
    <t>Value</t>
  </si>
  <si>
    <t>Total depreciation</t>
  </si>
  <si>
    <t>CAPEX - Depreciation_ in total</t>
  </si>
  <si>
    <t xml:space="preserve">Promotion costs </t>
  </si>
  <si>
    <t>300 pcs</t>
  </si>
  <si>
    <t>CAS</t>
  </si>
  <si>
    <t>Lease for other( 1car * 16 TCZK ) CAS</t>
  </si>
  <si>
    <t>of CZ</t>
  </si>
  <si>
    <t>SGA TOTAL CZ</t>
  </si>
  <si>
    <t>SGA TOTAL SK</t>
  </si>
  <si>
    <t>SGA TOTAL CZ+SK</t>
  </si>
  <si>
    <t>CZK</t>
  </si>
  <si>
    <t>EUR</t>
  </si>
  <si>
    <t>50 pcs</t>
  </si>
  <si>
    <t>80 pcs</t>
  </si>
  <si>
    <t>Operating Profit CZ</t>
  </si>
  <si>
    <t>Operating Profit CZ+SK</t>
  </si>
  <si>
    <t>CZ</t>
  </si>
  <si>
    <t>SK</t>
  </si>
  <si>
    <t>SG&amp;A</t>
  </si>
  <si>
    <t xml:space="preserve">OP </t>
  </si>
  <si>
    <t>OP/Sales</t>
  </si>
  <si>
    <t>SG&amp;A/Sales</t>
  </si>
  <si>
    <t>Sales (EUR)</t>
  </si>
  <si>
    <t>Sales (Pcs)</t>
  </si>
  <si>
    <t>1 month</t>
  </si>
  <si>
    <t>10 months</t>
  </si>
  <si>
    <t>Warehouse rental&amp;management</t>
  </si>
  <si>
    <t xml:space="preserve">Marketing </t>
  </si>
  <si>
    <t>IT Specialist 10%</t>
  </si>
  <si>
    <t>Finance 5%</t>
  </si>
  <si>
    <t>Logistic 5%</t>
  </si>
  <si>
    <t>Quality Assurance/RA (outsourced) 50%</t>
  </si>
  <si>
    <t>Logistics worker 50%</t>
  </si>
  <si>
    <t>from 2028 100%</t>
  </si>
  <si>
    <t>CZ expected sales (units)</t>
  </si>
  <si>
    <t xml:space="preserve">SK expected sales (units) </t>
  </si>
  <si>
    <t>Total expected sales (units)</t>
  </si>
  <si>
    <t>Market share CZ</t>
  </si>
  <si>
    <t>Bulletin</t>
  </si>
  <si>
    <t>30 pcs</t>
  </si>
  <si>
    <t>Odesilani balicku - 1 balicek stoji 250 Kc</t>
  </si>
  <si>
    <t>Lze distribuce z Frankfurt do nemocnice?</t>
  </si>
  <si>
    <t>Lze doplnovani skladu z Frankfurtu na denni/tydenni bazi?</t>
  </si>
  <si>
    <t>Lze odlozena splatnost na pocatecni sklad?</t>
  </si>
  <si>
    <t>Fazovani skladu - pocatecni cca 300-500 ks na launch a pak doplnovat podle prichodu novych zakazniku</t>
  </si>
  <si>
    <t>Shipping costs (3% of sales)</t>
  </si>
  <si>
    <t>Hodnota pocatecniho skladu</t>
  </si>
  <si>
    <t>pcs</t>
  </si>
  <si>
    <t>v "rental costs" již je prace skladnika, spotřeba vody, energie, vytápění, ostraha, úklid</t>
  </si>
  <si>
    <t>Stock - basic stock - 300-500 pcs, and increase based on the contracts with hospitals</t>
  </si>
  <si>
    <t>Stock - replenishment - how often, possible deliveries from FR directly to hospitals?</t>
  </si>
  <si>
    <t>pls see Sheet Warehouse</t>
  </si>
  <si>
    <t>Lease for other( 1car * 18 TCZK ) Project Mgr</t>
  </si>
  <si>
    <t>Lease for other( 1car * 18 TCZK ) CAS</t>
  </si>
  <si>
    <t>IT connection/maintenance</t>
  </si>
  <si>
    <t>price erosion 1% per year included</t>
  </si>
  <si>
    <t>Structure of the IOL team, headcount in the presentation</t>
  </si>
  <si>
    <t>Good mono is about 40-60 EUR on the market; Better Mono starting from 50-55 going up to 90; Best Mono starting from 80 going up to 110; Best Mono+ around 110-130, one trick - J&amp;J did mistake during Eyehance launch (in some countries) and exchange Tecnis with Eyehance and they need to sell for about 80</t>
  </si>
  <si>
    <t>3-4</t>
  </si>
  <si>
    <t>adjust the sales prices</t>
  </si>
  <si>
    <t>prepare marketing slide</t>
  </si>
  <si>
    <t>add Slovakia?</t>
  </si>
  <si>
    <t>half day of surgeon in OR and lunch is 1000 EUR</t>
  </si>
  <si>
    <t>expenses from Hoya and Bulletin for marketing</t>
  </si>
  <si>
    <t>toric pcs higher</t>
  </si>
  <si>
    <t>CZ IOL ASP (EUR)</t>
  </si>
  <si>
    <t>SK IOL ASP (EUR)</t>
  </si>
  <si>
    <t>of CZ sales</t>
  </si>
  <si>
    <t>Sales Representative (AR)</t>
  </si>
  <si>
    <t>Sales Representative (JC)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</si>
</sst>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_-* #,##0.00\ _K_č_-;\-* #,##0.00\ _K_č_-;_-* &quot;-&quot;??\ _K_č_-;_-@_-"/>
    <numFmt numFmtId="166" formatCode="_-* #,##0\ _K_č_-;\-* #,##0\ _K_č_-;_-* &quot;-&quot;\ _K_č_-;_-@_-"/>
    <numFmt numFmtId="167" formatCode="#,##0.0"/>
  </numFmts>
  <fonts count="33">
    <font>
      <sz val="11"/>
      <color theme="1"/>
      <name val="Times New Roman"/>
      <family val="2"/>
      <charset val="128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ＭＳ Ｐゴシック"/>
      <family val="3"/>
      <charset val="128"/>
    </font>
    <font>
      <b/>
      <u/>
      <sz val="12"/>
      <name val="Tahoma"/>
      <family val="2"/>
      <charset val="238"/>
    </font>
    <font>
      <sz val="11"/>
      <name val="Tahoma"/>
      <family val="2"/>
      <charset val="238"/>
    </font>
    <font>
      <sz val="11"/>
      <color theme="1"/>
      <name val="Tahoma"/>
      <family val="2"/>
      <charset val="238"/>
    </font>
    <font>
      <b/>
      <sz val="11"/>
      <name val="Tahoma"/>
      <family val="2"/>
      <charset val="238"/>
    </font>
    <font>
      <sz val="9"/>
      <name val="Tahoma"/>
      <family val="2"/>
      <charset val="238"/>
    </font>
    <font>
      <b/>
      <sz val="11"/>
      <color rgb="FFFF0000"/>
      <name val="Tahoma"/>
      <family val="2"/>
      <charset val="238"/>
    </font>
    <font>
      <sz val="11"/>
      <color indexed="8"/>
      <name val="Tahoma"/>
      <family val="2"/>
      <charset val="238"/>
    </font>
    <font>
      <sz val="11"/>
      <color theme="1"/>
      <name val="Times New Roman"/>
      <family val="2"/>
      <charset val="128"/>
    </font>
    <font>
      <sz val="11"/>
      <color theme="1"/>
      <name val="Aptos Narrow"/>
      <family val="2"/>
      <charset val="238"/>
      <scheme val="minor"/>
    </font>
    <font>
      <sz val="10"/>
      <name val="Tahoma"/>
      <family val="2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1"/>
      <name val="Tahoma"/>
      <family val="2"/>
    </font>
    <font>
      <sz val="11"/>
      <color theme="1"/>
      <name val="Tahoma"/>
      <family val="2"/>
    </font>
    <font>
      <sz val="11"/>
      <color theme="0" tint="-0.34998626667073579"/>
      <name val="Tahoma"/>
      <family val="2"/>
      <charset val="238"/>
    </font>
    <font>
      <b/>
      <sz val="11"/>
      <color theme="0" tint="-0.34998626667073579"/>
      <name val="Tahoma"/>
      <family val="2"/>
      <charset val="238"/>
    </font>
    <font>
      <sz val="9"/>
      <color theme="0" tint="-0.34998626667073579"/>
      <name val="Tahoma"/>
      <family val="2"/>
      <charset val="238"/>
    </font>
    <font>
      <sz val="11"/>
      <name val="Aptos Narrow"/>
      <family val="2"/>
      <scheme val="minor"/>
    </font>
    <font>
      <sz val="9"/>
      <color theme="1"/>
      <name val="Segoe UI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7999816888943144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double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</borders>
  <cellStyleXfs count="8">
    <xf numFmtId="0" fontId="0" fillId="0" borderId="0">
      <alignment vertical="center"/>
    </xf>
    <xf numFmtId="165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13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66" fontId="22" fillId="0" borderId="0" applyFont="0" applyFill="0" applyBorder="0" applyAlignment="0" applyProtection="0"/>
    <xf numFmtId="0" fontId="12" fillId="0" borderId="0"/>
  </cellStyleXfs>
  <cellXfs count="272">
    <xf numFmtId="0" fontId="0" fillId="0" borderId="0" xfId="0">
      <alignment vertical="center"/>
    </xf>
    <xf numFmtId="0" fontId="14" fillId="0" borderId="0" xfId="3" applyFont="1">
      <alignment vertical="center"/>
    </xf>
    <xf numFmtId="0" fontId="15" fillId="0" borderId="0" xfId="3" applyFont="1">
      <alignment vertical="center"/>
    </xf>
    <xf numFmtId="0" fontId="16" fillId="0" borderId="0" xfId="3" applyFont="1" applyAlignment="1">
      <alignment horizontal="right" vertical="center"/>
    </xf>
    <xf numFmtId="0" fontId="15" fillId="0" borderId="1" xfId="3" applyFont="1" applyBorder="1">
      <alignment vertical="center"/>
    </xf>
    <xf numFmtId="0" fontId="15" fillId="0" borderId="2" xfId="3" applyFont="1" applyBorder="1">
      <alignment vertical="center"/>
    </xf>
    <xf numFmtId="0" fontId="17" fillId="0" borderId="3" xfId="3" applyFont="1" applyBorder="1" applyAlignment="1">
      <alignment horizontal="center" vertical="center"/>
    </xf>
    <xf numFmtId="0" fontId="17" fillId="0" borderId="2" xfId="3" applyFont="1" applyBorder="1">
      <alignment vertical="center"/>
    </xf>
    <xf numFmtId="0" fontId="17" fillId="0" borderId="4" xfId="3" applyFont="1" applyBorder="1" applyAlignment="1">
      <alignment horizontal="center" vertical="center"/>
    </xf>
    <xf numFmtId="0" fontId="17" fillId="0" borderId="2" xfId="3" applyFont="1" applyBorder="1" applyAlignment="1">
      <alignment horizontal="center" vertical="center"/>
    </xf>
    <xf numFmtId="0" fontId="17" fillId="0" borderId="5" xfId="3" applyFont="1" applyBorder="1" applyAlignment="1">
      <alignment horizontal="center" vertical="center"/>
    </xf>
    <xf numFmtId="0" fontId="15" fillId="0" borderId="6" xfId="3" applyFont="1" applyBorder="1">
      <alignment vertical="center"/>
    </xf>
    <xf numFmtId="0" fontId="15" fillId="0" borderId="7" xfId="3" applyFont="1" applyBorder="1">
      <alignment vertical="center"/>
    </xf>
    <xf numFmtId="0" fontId="17" fillId="0" borderId="8" xfId="3" applyFont="1" applyBorder="1" applyAlignment="1">
      <alignment horizontal="center" vertical="center"/>
    </xf>
    <xf numFmtId="0" fontId="18" fillId="0" borderId="9" xfId="3" applyFont="1" applyBorder="1" applyAlignment="1">
      <alignment horizontal="center" vertical="center"/>
    </xf>
    <xf numFmtId="0" fontId="17" fillId="0" borderId="10" xfId="3" applyFont="1" applyBorder="1" applyAlignment="1">
      <alignment horizontal="center" vertical="center"/>
    </xf>
    <xf numFmtId="0" fontId="17" fillId="0" borderId="9" xfId="3" applyFont="1" applyBorder="1" applyAlignment="1">
      <alignment horizontal="center" vertical="center"/>
    </xf>
    <xf numFmtId="0" fontId="17" fillId="0" borderId="11" xfId="3" applyFont="1" applyBorder="1" applyAlignment="1">
      <alignment horizontal="center" vertical="center"/>
    </xf>
    <xf numFmtId="0" fontId="17" fillId="0" borderId="12" xfId="3" applyFont="1" applyBorder="1">
      <alignment vertical="center"/>
    </xf>
    <xf numFmtId="0" fontId="15" fillId="0" borderId="13" xfId="3" applyFont="1" applyBorder="1">
      <alignment vertical="center"/>
    </xf>
    <xf numFmtId="38" fontId="15" fillId="2" borderId="14" xfId="4" applyFont="1" applyFill="1" applyBorder="1">
      <alignment vertical="center"/>
    </xf>
    <xf numFmtId="164" fontId="15" fillId="0" borderId="15" xfId="5" applyNumberFormat="1" applyFont="1" applyFill="1" applyBorder="1">
      <alignment vertical="center"/>
    </xf>
    <xf numFmtId="38" fontId="15" fillId="2" borderId="16" xfId="4" applyFont="1" applyFill="1" applyBorder="1">
      <alignment vertical="center"/>
    </xf>
    <xf numFmtId="0" fontId="15" fillId="0" borderId="12" xfId="3" applyFont="1" applyBorder="1">
      <alignment vertical="center"/>
    </xf>
    <xf numFmtId="0" fontId="15" fillId="0" borderId="18" xfId="3" applyFont="1" applyBorder="1">
      <alignment vertical="center"/>
    </xf>
    <xf numFmtId="164" fontId="15" fillId="0" borderId="20" xfId="5" applyNumberFormat="1" applyFont="1" applyFill="1" applyBorder="1">
      <alignment vertical="center"/>
    </xf>
    <xf numFmtId="38" fontId="15" fillId="2" borderId="21" xfId="4" applyFont="1" applyFill="1" applyBorder="1">
      <alignment vertical="center"/>
    </xf>
    <xf numFmtId="0" fontId="17" fillId="0" borderId="23" xfId="3" applyFont="1" applyBorder="1">
      <alignment vertical="center"/>
    </xf>
    <xf numFmtId="164" fontId="17" fillId="0" borderId="24" xfId="5" applyNumberFormat="1" applyFont="1" applyFill="1" applyBorder="1">
      <alignment vertical="center"/>
    </xf>
    <xf numFmtId="38" fontId="17" fillId="0" borderId="25" xfId="4" applyFont="1" applyFill="1" applyBorder="1">
      <alignment vertical="center"/>
    </xf>
    <xf numFmtId="38" fontId="17" fillId="0" borderId="0" xfId="3" applyNumberFormat="1" applyFont="1">
      <alignment vertical="center"/>
    </xf>
    <xf numFmtId="0" fontId="17" fillId="0" borderId="0" xfId="3" applyFont="1">
      <alignment vertical="center"/>
    </xf>
    <xf numFmtId="0" fontId="15" fillId="0" borderId="27" xfId="3" applyFont="1" applyBorder="1">
      <alignment vertical="center"/>
    </xf>
    <xf numFmtId="0" fontId="15" fillId="0" borderId="15" xfId="3" applyFont="1" applyBorder="1">
      <alignment vertical="center"/>
    </xf>
    <xf numFmtId="0" fontId="15" fillId="0" borderId="20" xfId="3" applyFont="1" applyBorder="1">
      <alignment vertical="center"/>
    </xf>
    <xf numFmtId="0" fontId="15" fillId="0" borderId="28" xfId="3" applyFont="1" applyBorder="1">
      <alignment vertical="center"/>
    </xf>
    <xf numFmtId="164" fontId="15" fillId="0" borderId="18" xfId="5" applyNumberFormat="1" applyFont="1" applyFill="1" applyBorder="1">
      <alignment vertical="center"/>
    </xf>
    <xf numFmtId="38" fontId="15" fillId="2" borderId="30" xfId="4" applyFont="1" applyFill="1" applyBorder="1">
      <alignment vertical="center"/>
    </xf>
    <xf numFmtId="0" fontId="15" fillId="0" borderId="32" xfId="3" applyFont="1" applyBorder="1">
      <alignment vertical="center"/>
    </xf>
    <xf numFmtId="0" fontId="15" fillId="0" borderId="23" xfId="3" applyFont="1" applyBorder="1">
      <alignment vertical="center"/>
    </xf>
    <xf numFmtId="164" fontId="15" fillId="0" borderId="34" xfId="5" applyNumberFormat="1" applyFont="1" applyFill="1" applyBorder="1">
      <alignment vertical="center"/>
    </xf>
    <xf numFmtId="38" fontId="15" fillId="0" borderId="35" xfId="4" applyFont="1" applyFill="1" applyBorder="1">
      <alignment vertical="center"/>
    </xf>
    <xf numFmtId="0" fontId="17" fillId="0" borderId="37" xfId="3" applyFont="1" applyBorder="1">
      <alignment vertical="center"/>
    </xf>
    <xf numFmtId="0" fontId="17" fillId="0" borderId="38" xfId="3" applyFont="1" applyBorder="1">
      <alignment vertical="center"/>
    </xf>
    <xf numFmtId="38" fontId="17" fillId="0" borderId="14" xfId="4" applyFont="1" applyFill="1" applyBorder="1">
      <alignment vertical="center"/>
    </xf>
    <xf numFmtId="164" fontId="17" fillId="0" borderId="15" xfId="5" applyNumberFormat="1" applyFont="1" applyFill="1" applyBorder="1">
      <alignment vertical="center"/>
    </xf>
    <xf numFmtId="0" fontId="19" fillId="0" borderId="12" xfId="3" applyFont="1" applyBorder="1">
      <alignment vertical="center"/>
    </xf>
    <xf numFmtId="0" fontId="19" fillId="0" borderId="39" xfId="3" applyFont="1" applyBorder="1">
      <alignment vertical="center"/>
    </xf>
    <xf numFmtId="164" fontId="19" fillId="0" borderId="0" xfId="5" applyNumberFormat="1" applyFont="1" applyFill="1" applyBorder="1">
      <alignment vertical="center"/>
    </xf>
    <xf numFmtId="164" fontId="19" fillId="0" borderId="24" xfId="5" applyNumberFormat="1" applyFont="1" applyFill="1" applyBorder="1" applyAlignment="1">
      <alignment horizontal="center" vertical="center"/>
    </xf>
    <xf numFmtId="0" fontId="17" fillId="0" borderId="40" xfId="3" applyFont="1" applyBorder="1">
      <alignment vertical="center"/>
    </xf>
    <xf numFmtId="164" fontId="17" fillId="0" borderId="42" xfId="5" applyNumberFormat="1" applyFont="1" applyFill="1" applyBorder="1">
      <alignment vertical="center"/>
    </xf>
    <xf numFmtId="38" fontId="17" fillId="2" borderId="43" xfId="4" applyFont="1" applyFill="1" applyBorder="1">
      <alignment vertical="center"/>
    </xf>
    <xf numFmtId="38" fontId="17" fillId="0" borderId="16" xfId="4" applyFont="1" applyFill="1" applyBorder="1">
      <alignment vertical="center"/>
    </xf>
    <xf numFmtId="0" fontId="19" fillId="0" borderId="32" xfId="3" applyFont="1" applyBorder="1">
      <alignment vertical="center"/>
    </xf>
    <xf numFmtId="164" fontId="19" fillId="0" borderId="33" xfId="5" applyNumberFormat="1" applyFont="1" applyFill="1" applyBorder="1">
      <alignment vertical="center"/>
    </xf>
    <xf numFmtId="164" fontId="19" fillId="0" borderId="34" xfId="5" applyNumberFormat="1" applyFont="1" applyFill="1" applyBorder="1" applyAlignment="1">
      <alignment horizontal="center" vertical="center"/>
    </xf>
    <xf numFmtId="0" fontId="15" fillId="0" borderId="37" xfId="3" applyFont="1" applyBorder="1">
      <alignment vertical="center"/>
    </xf>
    <xf numFmtId="0" fontId="15" fillId="0" borderId="38" xfId="3" applyFont="1" applyBorder="1">
      <alignment vertical="center"/>
    </xf>
    <xf numFmtId="0" fontId="15" fillId="0" borderId="39" xfId="3" applyFont="1" applyBorder="1">
      <alignment vertical="center"/>
    </xf>
    <xf numFmtId="164" fontId="15" fillId="0" borderId="33" xfId="5" applyNumberFormat="1" applyFont="1" applyFill="1" applyBorder="1">
      <alignment vertical="center"/>
    </xf>
    <xf numFmtId="164" fontId="15" fillId="0" borderId="34" xfId="5" applyNumberFormat="1" applyFont="1" applyFill="1" applyBorder="1" applyAlignment="1">
      <alignment horizontal="center" vertical="center"/>
    </xf>
    <xf numFmtId="0" fontId="15" fillId="0" borderId="45" xfId="3" applyFont="1" applyBorder="1">
      <alignment vertical="center"/>
    </xf>
    <xf numFmtId="38" fontId="15" fillId="2" borderId="0" xfId="4" applyFont="1" applyFill="1" applyBorder="1">
      <alignment vertical="center"/>
    </xf>
    <xf numFmtId="164" fontId="15" fillId="0" borderId="24" xfId="5" applyNumberFormat="1" applyFont="1" applyFill="1" applyBorder="1">
      <alignment vertical="center"/>
    </xf>
    <xf numFmtId="0" fontId="15" fillId="0" borderId="40" xfId="3" applyFont="1" applyBorder="1">
      <alignment vertical="center"/>
    </xf>
    <xf numFmtId="38" fontId="15" fillId="2" borderId="41" xfId="4" applyFont="1" applyFill="1" applyBorder="1">
      <alignment vertical="center"/>
    </xf>
    <xf numFmtId="164" fontId="15" fillId="0" borderId="42" xfId="5" applyNumberFormat="1" applyFont="1" applyFill="1" applyBorder="1">
      <alignment vertical="center"/>
    </xf>
    <xf numFmtId="38" fontId="15" fillId="0" borderId="14" xfId="4" applyFont="1" applyFill="1" applyBorder="1">
      <alignment vertical="center"/>
    </xf>
    <xf numFmtId="0" fontId="15" fillId="0" borderId="46" xfId="3" applyFont="1" applyBorder="1">
      <alignment vertical="center"/>
    </xf>
    <xf numFmtId="0" fontId="15" fillId="0" borderId="47" xfId="3" applyFont="1" applyBorder="1">
      <alignment vertical="center"/>
    </xf>
    <xf numFmtId="164" fontId="15" fillId="0" borderId="48" xfId="5" applyNumberFormat="1" applyFont="1" applyFill="1" applyBorder="1">
      <alignment vertical="center"/>
    </xf>
    <xf numFmtId="164" fontId="15" fillId="0" borderId="49" xfId="5" applyNumberFormat="1" applyFont="1" applyFill="1" applyBorder="1" applyAlignment="1">
      <alignment horizontal="center" vertical="center"/>
    </xf>
    <xf numFmtId="164" fontId="15" fillId="0" borderId="50" xfId="5" applyNumberFormat="1" applyFont="1" applyFill="1" applyBorder="1" applyAlignment="1">
      <alignment horizontal="center" vertical="center"/>
    </xf>
    <xf numFmtId="10" fontId="17" fillId="0" borderId="0" xfId="1" applyNumberFormat="1" applyFont="1" applyAlignment="1">
      <alignment vertical="center"/>
    </xf>
    <xf numFmtId="165" fontId="15" fillId="0" borderId="0" xfId="1" applyFont="1" applyAlignment="1">
      <alignment vertical="center"/>
    </xf>
    <xf numFmtId="38" fontId="23" fillId="0" borderId="0" xfId="6" applyNumberFormat="1" applyFont="1" applyBorder="1"/>
    <xf numFmtId="0" fontId="17" fillId="0" borderId="41" xfId="3" applyFont="1" applyBorder="1">
      <alignment vertical="center"/>
    </xf>
    <xf numFmtId="0" fontId="17" fillId="0" borderId="5" xfId="3" applyFont="1" applyBorder="1">
      <alignment vertical="center"/>
    </xf>
    <xf numFmtId="10" fontId="15" fillId="0" borderId="0" xfId="3" applyNumberFormat="1" applyFont="1">
      <alignment vertical="center"/>
    </xf>
    <xf numFmtId="9" fontId="15" fillId="0" borderId="0" xfId="3" applyNumberFormat="1" applyFont="1">
      <alignment vertical="center"/>
    </xf>
    <xf numFmtId="0" fontId="19" fillId="0" borderId="0" xfId="3" applyFont="1">
      <alignment vertical="center"/>
    </xf>
    <xf numFmtId="0" fontId="24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4" fillId="0" borderId="8" xfId="0" applyFont="1" applyBorder="1">
      <alignment vertical="center"/>
    </xf>
    <xf numFmtId="0" fontId="25" fillId="0" borderId="0" xfId="0" applyFont="1">
      <alignment vertical="center"/>
    </xf>
    <xf numFmtId="10" fontId="24" fillId="0" borderId="0" xfId="0" applyNumberFormat="1" applyFont="1">
      <alignment vertical="center"/>
    </xf>
    <xf numFmtId="1" fontId="24" fillId="0" borderId="0" xfId="0" applyNumberFormat="1" applyFont="1">
      <alignment vertical="center"/>
    </xf>
    <xf numFmtId="1" fontId="24" fillId="0" borderId="8" xfId="0" applyNumberFormat="1" applyFont="1" applyBorder="1">
      <alignment vertical="center"/>
    </xf>
    <xf numFmtId="1" fontId="25" fillId="0" borderId="0" xfId="0" applyNumberFormat="1" applyFont="1">
      <alignment vertical="center"/>
    </xf>
    <xf numFmtId="3" fontId="15" fillId="0" borderId="0" xfId="3" applyNumberFormat="1" applyFont="1">
      <alignment vertical="center"/>
    </xf>
    <xf numFmtId="0" fontId="12" fillId="0" borderId="0" xfId="7"/>
    <xf numFmtId="4" fontId="12" fillId="0" borderId="0" xfId="7" applyNumberFormat="1"/>
    <xf numFmtId="3" fontId="12" fillId="0" borderId="0" xfId="7" applyNumberFormat="1"/>
    <xf numFmtId="9" fontId="12" fillId="0" borderId="0" xfId="7" applyNumberFormat="1"/>
    <xf numFmtId="0" fontId="17" fillId="0" borderId="51" xfId="3" applyFont="1" applyBorder="1" applyAlignment="1">
      <alignment horizontal="center" vertical="center"/>
    </xf>
    <xf numFmtId="0" fontId="15" fillId="0" borderId="3" xfId="3" applyFont="1" applyBorder="1">
      <alignment vertical="center"/>
    </xf>
    <xf numFmtId="0" fontId="15" fillId="0" borderId="8" xfId="3" applyFont="1" applyBorder="1">
      <alignment vertical="center"/>
    </xf>
    <xf numFmtId="0" fontId="15" fillId="0" borderId="19" xfId="3" applyFont="1" applyBorder="1">
      <alignment vertical="center"/>
    </xf>
    <xf numFmtId="0" fontId="15" fillId="0" borderId="14" xfId="3" applyFont="1" applyBorder="1">
      <alignment vertical="center"/>
    </xf>
    <xf numFmtId="0" fontId="15" fillId="0" borderId="29" xfId="3" applyFont="1" applyBorder="1">
      <alignment vertical="center"/>
    </xf>
    <xf numFmtId="0" fontId="17" fillId="0" borderId="14" xfId="3" applyFont="1" applyBorder="1">
      <alignment vertical="center"/>
    </xf>
    <xf numFmtId="0" fontId="19" fillId="0" borderId="33" xfId="3" applyFont="1" applyBorder="1">
      <alignment vertical="center"/>
    </xf>
    <xf numFmtId="0" fontId="15" fillId="0" borderId="33" xfId="3" applyFont="1" applyBorder="1">
      <alignment vertical="center"/>
    </xf>
    <xf numFmtId="0" fontId="15" fillId="0" borderId="48" xfId="3" applyFont="1" applyBorder="1">
      <alignment vertical="center"/>
    </xf>
    <xf numFmtId="0" fontId="15" fillId="0" borderId="60" xfId="3" applyFont="1" applyBorder="1">
      <alignment vertical="center"/>
    </xf>
    <xf numFmtId="0" fontId="26" fillId="0" borderId="45" xfId="3" applyFont="1" applyBorder="1">
      <alignment vertical="center"/>
    </xf>
    <xf numFmtId="167" fontId="15" fillId="0" borderId="0" xfId="3" applyNumberFormat="1" applyFont="1">
      <alignment vertical="center"/>
    </xf>
    <xf numFmtId="1" fontId="12" fillId="0" borderId="0" xfId="7" applyNumberFormat="1"/>
    <xf numFmtId="0" fontId="11" fillId="0" borderId="0" xfId="7" applyFont="1"/>
    <xf numFmtId="3" fontId="0" fillId="0" borderId="0" xfId="0" applyNumberFormat="1">
      <alignment vertical="center"/>
    </xf>
    <xf numFmtId="164" fontId="12" fillId="0" borderId="0" xfId="7" applyNumberFormat="1"/>
    <xf numFmtId="0" fontId="10" fillId="0" borderId="0" xfId="7" applyFont="1"/>
    <xf numFmtId="9" fontId="12" fillId="0" borderId="0" xfId="2" applyFont="1"/>
    <xf numFmtId="0" fontId="9" fillId="0" borderId="0" xfId="7" applyFont="1"/>
    <xf numFmtId="164" fontId="12" fillId="0" borderId="0" xfId="2" applyNumberFormat="1" applyFont="1"/>
    <xf numFmtId="0" fontId="8" fillId="0" borderId="0" xfId="7" applyFont="1"/>
    <xf numFmtId="0" fontId="6" fillId="0" borderId="0" xfId="7" applyFont="1"/>
    <xf numFmtId="0" fontId="27" fillId="0" borderId="0" xfId="0" applyFont="1">
      <alignment vertical="center"/>
    </xf>
    <xf numFmtId="167" fontId="0" fillId="0" borderId="0" xfId="0" applyNumberFormat="1">
      <alignment vertical="center"/>
    </xf>
    <xf numFmtId="0" fontId="17" fillId="3" borderId="0" xfId="3" applyFont="1" applyFill="1">
      <alignment vertical="center"/>
    </xf>
    <xf numFmtId="38" fontId="17" fillId="3" borderId="0" xfId="3" applyNumberFormat="1" applyFont="1" applyFill="1">
      <alignment vertical="center"/>
    </xf>
    <xf numFmtId="9" fontId="17" fillId="3" borderId="0" xfId="2" applyFont="1" applyFill="1" applyAlignment="1">
      <alignment vertical="center"/>
    </xf>
    <xf numFmtId="9" fontId="17" fillId="0" borderId="0" xfId="2" applyFont="1" applyFill="1" applyAlignment="1">
      <alignment vertical="center"/>
    </xf>
    <xf numFmtId="0" fontId="17" fillId="5" borderId="0" xfId="3" applyFont="1" applyFill="1">
      <alignment vertical="center"/>
    </xf>
    <xf numFmtId="38" fontId="17" fillId="5" borderId="0" xfId="3" applyNumberFormat="1" applyFont="1" applyFill="1">
      <alignment vertical="center"/>
    </xf>
    <xf numFmtId="9" fontId="17" fillId="5" borderId="0" xfId="2" applyFont="1" applyFill="1" applyAlignment="1">
      <alignment vertical="center"/>
    </xf>
    <xf numFmtId="0" fontId="17" fillId="6" borderId="37" xfId="3" applyFont="1" applyFill="1" applyBorder="1">
      <alignment vertical="center"/>
    </xf>
    <xf numFmtId="0" fontId="17" fillId="6" borderId="38" xfId="3" applyFont="1" applyFill="1" applyBorder="1">
      <alignment vertical="center"/>
    </xf>
    <xf numFmtId="0" fontId="17" fillId="6" borderId="14" xfId="3" applyFont="1" applyFill="1" applyBorder="1">
      <alignment vertical="center"/>
    </xf>
    <xf numFmtId="164" fontId="17" fillId="6" borderId="15" xfId="5" applyNumberFormat="1" applyFont="1" applyFill="1" applyBorder="1">
      <alignment vertical="center"/>
    </xf>
    <xf numFmtId="38" fontId="17" fillId="6" borderId="16" xfId="4" applyFont="1" applyFill="1" applyBorder="1">
      <alignment vertical="center"/>
    </xf>
    <xf numFmtId="0" fontId="19" fillId="6" borderId="32" xfId="3" applyFont="1" applyFill="1" applyBorder="1">
      <alignment vertical="center"/>
    </xf>
    <xf numFmtId="0" fontId="19" fillId="6" borderId="39" xfId="3" applyFont="1" applyFill="1" applyBorder="1">
      <alignment vertical="center"/>
    </xf>
    <xf numFmtId="0" fontId="19" fillId="6" borderId="33" xfId="3" applyFont="1" applyFill="1" applyBorder="1">
      <alignment vertical="center"/>
    </xf>
    <xf numFmtId="164" fontId="19" fillId="6" borderId="34" xfId="5" applyNumberFormat="1" applyFont="1" applyFill="1" applyBorder="1" applyAlignment="1">
      <alignment horizontal="center" vertical="center"/>
    </xf>
    <xf numFmtId="164" fontId="19" fillId="6" borderId="33" xfId="5" applyNumberFormat="1" applyFont="1" applyFill="1" applyBorder="1">
      <alignment vertical="center"/>
    </xf>
    <xf numFmtId="0" fontId="15" fillId="6" borderId="0" xfId="3" applyFont="1" applyFill="1">
      <alignment vertical="center"/>
    </xf>
    <xf numFmtId="9" fontId="15" fillId="6" borderId="0" xfId="3" applyNumberFormat="1" applyFont="1" applyFill="1">
      <alignment vertical="center"/>
    </xf>
    <xf numFmtId="3" fontId="15" fillId="6" borderId="0" xfId="3" applyNumberFormat="1" applyFont="1" applyFill="1">
      <alignment vertical="center"/>
    </xf>
    <xf numFmtId="38" fontId="0" fillId="0" borderId="0" xfId="0" applyNumberFormat="1">
      <alignment vertical="center"/>
    </xf>
    <xf numFmtId="164" fontId="0" fillId="0" borderId="0" xfId="2" applyNumberFormat="1" applyFont="1" applyAlignment="1">
      <alignment vertical="center"/>
    </xf>
    <xf numFmtId="0" fontId="0" fillId="0" borderId="0" xfId="0" applyAlignment="1">
      <alignment horizontal="right" vertical="center"/>
    </xf>
    <xf numFmtId="3" fontId="28" fillId="0" borderId="0" xfId="3" applyNumberFormat="1" applyFont="1">
      <alignment vertical="center"/>
    </xf>
    <xf numFmtId="0" fontId="28" fillId="0" borderId="0" xfId="3" applyFont="1">
      <alignment vertical="center"/>
    </xf>
    <xf numFmtId="3" fontId="28" fillId="6" borderId="0" xfId="3" applyNumberFormat="1" applyFont="1" applyFill="1">
      <alignment vertical="center"/>
    </xf>
    <xf numFmtId="0" fontId="28" fillId="6" borderId="0" xfId="3" applyFont="1" applyFill="1">
      <alignment vertical="center"/>
    </xf>
    <xf numFmtId="9" fontId="28" fillId="0" borderId="0" xfId="3" applyNumberFormat="1" applyFont="1">
      <alignment vertical="center"/>
    </xf>
    <xf numFmtId="0" fontId="28" fillId="0" borderId="0" xfId="3" applyFont="1" applyAlignment="1">
      <alignment horizontal="right" vertical="center"/>
    </xf>
    <xf numFmtId="0" fontId="29" fillId="0" borderId="4" xfId="3" applyFont="1" applyBorder="1" applyAlignment="1">
      <alignment horizontal="center" vertical="center"/>
    </xf>
    <xf numFmtId="0" fontId="29" fillId="0" borderId="3" xfId="3" applyFont="1" applyBorder="1" applyAlignment="1">
      <alignment horizontal="center" vertical="center"/>
    </xf>
    <xf numFmtId="0" fontId="29" fillId="0" borderId="5" xfId="3" applyFont="1" applyBorder="1" applyAlignment="1">
      <alignment horizontal="center" vertical="center"/>
    </xf>
    <xf numFmtId="0" fontId="29" fillId="0" borderId="10" xfId="3" applyFont="1" applyBorder="1" applyAlignment="1">
      <alignment horizontal="center" vertical="center"/>
    </xf>
    <xf numFmtId="0" fontId="29" fillId="0" borderId="51" xfId="3" applyFont="1" applyBorder="1" applyAlignment="1">
      <alignment horizontal="center" vertical="center"/>
    </xf>
    <xf numFmtId="0" fontId="29" fillId="0" borderId="11" xfId="3" applyFont="1" applyBorder="1" applyAlignment="1">
      <alignment horizontal="center" vertical="center"/>
    </xf>
    <xf numFmtId="38" fontId="28" fillId="2" borderId="14" xfId="4" applyFont="1" applyFill="1" applyBorder="1">
      <alignment vertical="center"/>
    </xf>
    <xf numFmtId="164" fontId="28" fillId="0" borderId="52" xfId="5" applyNumberFormat="1" applyFont="1" applyFill="1" applyBorder="1">
      <alignment vertical="center"/>
    </xf>
    <xf numFmtId="164" fontId="28" fillId="0" borderId="17" xfId="5" applyNumberFormat="1" applyFont="1" applyFill="1" applyBorder="1">
      <alignment vertical="center"/>
    </xf>
    <xf numFmtId="38" fontId="28" fillId="2" borderId="21" xfId="4" applyFont="1" applyFill="1" applyBorder="1">
      <alignment vertical="center"/>
    </xf>
    <xf numFmtId="164" fontId="28" fillId="0" borderId="53" xfId="5" applyNumberFormat="1" applyFont="1" applyFill="1" applyBorder="1">
      <alignment vertical="center"/>
    </xf>
    <xf numFmtId="164" fontId="28" fillId="0" borderId="22" xfId="5" applyNumberFormat="1" applyFont="1" applyFill="1" applyBorder="1">
      <alignment vertical="center"/>
    </xf>
    <xf numFmtId="38" fontId="29" fillId="0" borderId="25" xfId="4" applyFont="1" applyFill="1" applyBorder="1">
      <alignment vertical="center"/>
    </xf>
    <xf numFmtId="164" fontId="29" fillId="0" borderId="54" xfId="5" applyNumberFormat="1" applyFont="1" applyFill="1" applyBorder="1">
      <alignment vertical="center"/>
    </xf>
    <xf numFmtId="164" fontId="29" fillId="0" borderId="26" xfId="5" applyNumberFormat="1" applyFont="1" applyFill="1" applyBorder="1">
      <alignment vertical="center"/>
    </xf>
    <xf numFmtId="38" fontId="28" fillId="2" borderId="16" xfId="4" applyFont="1" applyFill="1" applyBorder="1">
      <alignment vertical="center"/>
    </xf>
    <xf numFmtId="38" fontId="28" fillId="2" borderId="30" xfId="4" applyFont="1" applyFill="1" applyBorder="1">
      <alignment vertical="center"/>
    </xf>
    <xf numFmtId="164" fontId="28" fillId="0" borderId="55" xfId="5" applyNumberFormat="1" applyFont="1" applyFill="1" applyBorder="1">
      <alignment vertical="center"/>
    </xf>
    <xf numFmtId="164" fontId="28" fillId="0" borderId="31" xfId="5" applyNumberFormat="1" applyFont="1" applyFill="1" applyBorder="1">
      <alignment vertical="center"/>
    </xf>
    <xf numFmtId="38" fontId="28" fillId="0" borderId="35" xfId="4" applyFont="1" applyFill="1" applyBorder="1">
      <alignment vertical="center"/>
    </xf>
    <xf numFmtId="164" fontId="28" fillId="0" borderId="56" xfId="5" applyNumberFormat="1" applyFont="1" applyFill="1" applyBorder="1">
      <alignment vertical="center"/>
    </xf>
    <xf numFmtId="164" fontId="28" fillId="0" borderId="36" xfId="5" applyNumberFormat="1" applyFont="1" applyFill="1" applyBorder="1">
      <alignment vertical="center"/>
    </xf>
    <xf numFmtId="38" fontId="29" fillId="0" borderId="14" xfId="4" applyFont="1" applyFill="1" applyBorder="1">
      <alignment vertical="center"/>
    </xf>
    <xf numFmtId="164" fontId="29" fillId="0" borderId="52" xfId="5" applyNumberFormat="1" applyFont="1" applyFill="1" applyBorder="1">
      <alignment vertical="center"/>
    </xf>
    <xf numFmtId="38" fontId="29" fillId="0" borderId="16" xfId="4" applyFont="1" applyFill="1" applyBorder="1">
      <alignment vertical="center"/>
    </xf>
    <xf numFmtId="164" fontId="29" fillId="0" borderId="17" xfId="5" applyNumberFormat="1" applyFont="1" applyFill="1" applyBorder="1">
      <alignment vertical="center"/>
    </xf>
    <xf numFmtId="164" fontId="29" fillId="0" borderId="0" xfId="5" applyNumberFormat="1" applyFont="1" applyFill="1" applyBorder="1">
      <alignment vertical="center"/>
    </xf>
    <xf numFmtId="164" fontId="29" fillId="0" borderId="54" xfId="5" applyNumberFormat="1" applyFont="1" applyFill="1" applyBorder="1" applyAlignment="1">
      <alignment horizontal="center" vertical="center"/>
    </xf>
    <xf numFmtId="164" fontId="29" fillId="0" borderId="25" xfId="5" applyNumberFormat="1" applyFont="1" applyFill="1" applyBorder="1">
      <alignment vertical="center"/>
    </xf>
    <xf numFmtId="164" fontId="29" fillId="0" borderId="26" xfId="5" applyNumberFormat="1" applyFont="1" applyFill="1" applyBorder="1" applyAlignment="1">
      <alignment horizontal="center" vertical="center"/>
    </xf>
    <xf numFmtId="38" fontId="29" fillId="2" borderId="43" xfId="4" applyFont="1" applyFill="1" applyBorder="1">
      <alignment vertical="center"/>
    </xf>
    <xf numFmtId="164" fontId="29" fillId="0" borderId="57" xfId="5" applyNumberFormat="1" applyFont="1" applyFill="1" applyBorder="1">
      <alignment vertical="center"/>
    </xf>
    <xf numFmtId="164" fontId="29" fillId="0" borderId="44" xfId="5" applyNumberFormat="1" applyFont="1" applyFill="1" applyBorder="1">
      <alignment vertical="center"/>
    </xf>
    <xf numFmtId="164" fontId="29" fillId="0" borderId="15" xfId="5" applyNumberFormat="1" applyFont="1" applyFill="1" applyBorder="1">
      <alignment vertical="center"/>
    </xf>
    <xf numFmtId="164" fontId="29" fillId="0" borderId="33" xfId="5" applyNumberFormat="1" applyFont="1" applyFill="1" applyBorder="1">
      <alignment vertical="center"/>
    </xf>
    <xf numFmtId="164" fontId="29" fillId="0" borderId="56" xfId="5" applyNumberFormat="1" applyFont="1" applyFill="1" applyBorder="1" applyAlignment="1">
      <alignment horizontal="center" vertical="center"/>
    </xf>
    <xf numFmtId="164" fontId="29" fillId="0" borderId="35" xfId="5" applyNumberFormat="1" applyFont="1" applyFill="1" applyBorder="1">
      <alignment vertical="center"/>
    </xf>
    <xf numFmtId="164" fontId="29" fillId="0" borderId="36" xfId="5" applyNumberFormat="1" applyFont="1" applyFill="1" applyBorder="1" applyAlignment="1">
      <alignment horizontal="center" vertical="center"/>
    </xf>
    <xf numFmtId="38" fontId="29" fillId="6" borderId="16" xfId="4" applyFont="1" applyFill="1" applyBorder="1">
      <alignment vertical="center"/>
    </xf>
    <xf numFmtId="164" fontId="29" fillId="6" borderId="52" xfId="5" applyNumberFormat="1" applyFont="1" applyFill="1" applyBorder="1">
      <alignment vertical="center"/>
    </xf>
    <xf numFmtId="164" fontId="29" fillId="6" borderId="15" xfId="5" applyNumberFormat="1" applyFont="1" applyFill="1" applyBorder="1">
      <alignment vertical="center"/>
    </xf>
    <xf numFmtId="164" fontId="29" fillId="6" borderId="33" xfId="5" applyNumberFormat="1" applyFont="1" applyFill="1" applyBorder="1">
      <alignment vertical="center"/>
    </xf>
    <xf numFmtId="164" fontId="29" fillId="6" borderId="56" xfId="5" applyNumberFormat="1" applyFont="1" applyFill="1" applyBorder="1" applyAlignment="1">
      <alignment horizontal="center" vertical="center"/>
    </xf>
    <xf numFmtId="164" fontId="29" fillId="6" borderId="36" xfId="5" applyNumberFormat="1" applyFont="1" applyFill="1" applyBorder="1" applyAlignment="1">
      <alignment horizontal="center" vertical="center"/>
    </xf>
    <xf numFmtId="164" fontId="28" fillId="0" borderId="33" xfId="5" applyNumberFormat="1" applyFont="1" applyFill="1" applyBorder="1">
      <alignment vertical="center"/>
    </xf>
    <xf numFmtId="164" fontId="28" fillId="0" borderId="56" xfId="5" applyNumberFormat="1" applyFont="1" applyFill="1" applyBorder="1" applyAlignment="1">
      <alignment horizontal="center" vertical="center"/>
    </xf>
    <xf numFmtId="164" fontId="28" fillId="0" borderId="35" xfId="5" applyNumberFormat="1" applyFont="1" applyFill="1" applyBorder="1">
      <alignment vertical="center"/>
    </xf>
    <xf numFmtId="164" fontId="28" fillId="0" borderId="36" xfId="5" applyNumberFormat="1" applyFont="1" applyFill="1" applyBorder="1" applyAlignment="1">
      <alignment horizontal="center" vertical="center"/>
    </xf>
    <xf numFmtId="38" fontId="28" fillId="2" borderId="0" xfId="4" applyFont="1" applyFill="1" applyBorder="1">
      <alignment vertical="center"/>
    </xf>
    <xf numFmtId="164" fontId="28" fillId="0" borderId="54" xfId="5" applyNumberFormat="1" applyFont="1" applyFill="1" applyBorder="1">
      <alignment vertical="center"/>
    </xf>
    <xf numFmtId="38" fontId="28" fillId="2" borderId="25" xfId="4" applyFont="1" applyFill="1" applyBorder="1">
      <alignment vertical="center"/>
    </xf>
    <xf numFmtId="164" fontId="28" fillId="0" borderId="26" xfId="5" applyNumberFormat="1" applyFont="1" applyFill="1" applyBorder="1">
      <alignment vertical="center"/>
    </xf>
    <xf numFmtId="38" fontId="28" fillId="2" borderId="41" xfId="4" applyFont="1" applyFill="1" applyBorder="1">
      <alignment vertical="center"/>
    </xf>
    <xf numFmtId="164" fontId="28" fillId="0" borderId="57" xfId="5" applyNumberFormat="1" applyFont="1" applyFill="1" applyBorder="1">
      <alignment vertical="center"/>
    </xf>
    <xf numFmtId="38" fontId="28" fillId="2" borderId="43" xfId="4" applyFont="1" applyFill="1" applyBorder="1">
      <alignment vertical="center"/>
    </xf>
    <xf numFmtId="164" fontId="28" fillId="0" borderId="44" xfId="5" applyNumberFormat="1" applyFont="1" applyFill="1" applyBorder="1">
      <alignment vertical="center"/>
    </xf>
    <xf numFmtId="38" fontId="28" fillId="0" borderId="14" xfId="4" applyFont="1" applyFill="1" applyBorder="1">
      <alignment vertical="center"/>
    </xf>
    <xf numFmtId="38" fontId="28" fillId="0" borderId="16" xfId="4" applyFont="1" applyFill="1" applyBorder="1">
      <alignment vertical="center"/>
    </xf>
    <xf numFmtId="164" fontId="28" fillId="0" borderId="48" xfId="5" applyNumberFormat="1" applyFont="1" applyFill="1" applyBorder="1">
      <alignment vertical="center"/>
    </xf>
    <xf numFmtId="164" fontId="28" fillId="0" borderId="58" xfId="5" applyNumberFormat="1" applyFont="1" applyFill="1" applyBorder="1" applyAlignment="1">
      <alignment horizontal="center" vertical="center"/>
    </xf>
    <xf numFmtId="164" fontId="28" fillId="0" borderId="59" xfId="5" applyNumberFormat="1" applyFont="1" applyFill="1" applyBorder="1">
      <alignment vertical="center"/>
    </xf>
    <xf numFmtId="164" fontId="28" fillId="0" borderId="50" xfId="5" applyNumberFormat="1" applyFont="1" applyFill="1" applyBorder="1" applyAlignment="1">
      <alignment horizontal="center" vertical="center"/>
    </xf>
    <xf numFmtId="10" fontId="29" fillId="0" borderId="0" xfId="1" applyNumberFormat="1" applyFont="1" applyAlignment="1">
      <alignment vertical="center"/>
    </xf>
    <xf numFmtId="0" fontId="29" fillId="0" borderId="5" xfId="3" applyFont="1" applyBorder="1">
      <alignment vertical="center"/>
    </xf>
    <xf numFmtId="167" fontId="28" fillId="0" borderId="0" xfId="3" applyNumberFormat="1" applyFont="1">
      <alignment vertical="center"/>
    </xf>
    <xf numFmtId="38" fontId="29" fillId="3" borderId="0" xfId="3" applyNumberFormat="1" applyFont="1" applyFill="1">
      <alignment vertical="center"/>
    </xf>
    <xf numFmtId="9" fontId="29" fillId="3" borderId="0" xfId="2" applyFont="1" applyFill="1" applyAlignment="1">
      <alignment vertical="center"/>
    </xf>
    <xf numFmtId="38" fontId="29" fillId="0" borderId="0" xfId="3" applyNumberFormat="1" applyFont="1">
      <alignment vertical="center"/>
    </xf>
    <xf numFmtId="9" fontId="29" fillId="0" borderId="0" xfId="2" applyFont="1" applyFill="1" applyAlignment="1">
      <alignment vertical="center"/>
    </xf>
    <xf numFmtId="38" fontId="29" fillId="5" borderId="0" xfId="3" applyNumberFormat="1" applyFont="1" applyFill="1">
      <alignment vertical="center"/>
    </xf>
    <xf numFmtId="9" fontId="29" fillId="5" borderId="0" xfId="2" applyFont="1" applyFill="1" applyAlignment="1">
      <alignment vertical="center"/>
    </xf>
    <xf numFmtId="0" fontId="29" fillId="0" borderId="2" xfId="3" applyFont="1" applyBorder="1">
      <alignment vertical="center"/>
    </xf>
    <xf numFmtId="0" fontId="29" fillId="0" borderId="8" xfId="3" applyFont="1" applyBorder="1" applyAlignment="1">
      <alignment horizontal="center" vertical="center"/>
    </xf>
    <xf numFmtId="0" fontId="30" fillId="0" borderId="9" xfId="3" applyFont="1" applyBorder="1" applyAlignment="1">
      <alignment horizontal="center" vertical="center"/>
    </xf>
    <xf numFmtId="38" fontId="28" fillId="2" borderId="63" xfId="4" applyFont="1" applyFill="1" applyBorder="1">
      <alignment vertical="center"/>
    </xf>
    <xf numFmtId="164" fontId="28" fillId="0" borderId="15" xfId="5" applyNumberFormat="1" applyFont="1" applyFill="1" applyBorder="1">
      <alignment vertical="center"/>
    </xf>
    <xf numFmtId="38" fontId="28" fillId="2" borderId="64" xfId="4" applyFont="1" applyFill="1" applyBorder="1">
      <alignment vertical="center"/>
    </xf>
    <xf numFmtId="164" fontId="28" fillId="0" borderId="20" xfId="5" applyNumberFormat="1" applyFont="1" applyFill="1" applyBorder="1">
      <alignment vertical="center"/>
    </xf>
    <xf numFmtId="38" fontId="29" fillId="0" borderId="65" xfId="4" applyFont="1" applyFill="1" applyBorder="1">
      <alignment vertical="center"/>
    </xf>
    <xf numFmtId="164" fontId="29" fillId="0" borderId="24" xfId="5" applyNumberFormat="1" applyFont="1" applyFill="1" applyBorder="1">
      <alignment vertical="center"/>
    </xf>
    <xf numFmtId="38" fontId="28" fillId="2" borderId="66" xfId="4" applyFont="1" applyFill="1" applyBorder="1">
      <alignment vertical="center"/>
    </xf>
    <xf numFmtId="38" fontId="28" fillId="2" borderId="67" xfId="4" applyFont="1" applyFill="1" applyBorder="1">
      <alignment vertical="center"/>
    </xf>
    <xf numFmtId="164" fontId="28" fillId="0" borderId="18" xfId="5" applyNumberFormat="1" applyFont="1" applyFill="1" applyBorder="1">
      <alignment vertical="center"/>
    </xf>
    <xf numFmtId="38" fontId="28" fillId="0" borderId="68" xfId="4" applyFont="1" applyFill="1" applyBorder="1">
      <alignment vertical="center"/>
    </xf>
    <xf numFmtId="164" fontId="28" fillId="0" borderId="34" xfId="5" applyNumberFormat="1" applyFont="1" applyFill="1" applyBorder="1">
      <alignment vertical="center"/>
    </xf>
    <xf numFmtId="38" fontId="29" fillId="0" borderId="66" xfId="4" applyFont="1" applyFill="1" applyBorder="1">
      <alignment vertical="center"/>
    </xf>
    <xf numFmtId="164" fontId="29" fillId="0" borderId="65" xfId="5" applyNumberFormat="1" applyFont="1" applyFill="1" applyBorder="1">
      <alignment vertical="center"/>
    </xf>
    <xf numFmtId="164" fontId="29" fillId="0" borderId="24" xfId="5" applyNumberFormat="1" applyFont="1" applyFill="1" applyBorder="1" applyAlignment="1">
      <alignment horizontal="center" vertical="center"/>
    </xf>
    <xf numFmtId="38" fontId="29" fillId="2" borderId="61" xfId="4" applyFont="1" applyFill="1" applyBorder="1">
      <alignment vertical="center"/>
    </xf>
    <xf numFmtId="164" fontId="29" fillId="0" borderId="42" xfId="5" applyNumberFormat="1" applyFont="1" applyFill="1" applyBorder="1">
      <alignment vertical="center"/>
    </xf>
    <xf numFmtId="164" fontId="29" fillId="0" borderId="62" xfId="5" applyNumberFormat="1" applyFont="1" applyFill="1" applyBorder="1">
      <alignment vertical="center"/>
    </xf>
    <xf numFmtId="164" fontId="29" fillId="0" borderId="34" xfId="5" applyNumberFormat="1" applyFont="1" applyFill="1" applyBorder="1" applyAlignment="1">
      <alignment horizontal="center" vertical="center"/>
    </xf>
    <xf numFmtId="38" fontId="29" fillId="6" borderId="66" xfId="4" applyFont="1" applyFill="1" applyBorder="1">
      <alignment vertical="center"/>
    </xf>
    <xf numFmtId="164" fontId="29" fillId="6" borderId="62" xfId="5" applyNumberFormat="1" applyFont="1" applyFill="1" applyBorder="1">
      <alignment vertical="center"/>
    </xf>
    <xf numFmtId="164" fontId="29" fillId="6" borderId="34" xfId="5" applyNumberFormat="1" applyFont="1" applyFill="1" applyBorder="1" applyAlignment="1">
      <alignment horizontal="center" vertical="center"/>
    </xf>
    <xf numFmtId="164" fontId="28" fillId="0" borderId="68" xfId="5" applyNumberFormat="1" applyFont="1" applyFill="1" applyBorder="1">
      <alignment vertical="center"/>
    </xf>
    <xf numFmtId="164" fontId="28" fillId="0" borderId="34" xfId="5" applyNumberFormat="1" applyFont="1" applyFill="1" applyBorder="1" applyAlignment="1">
      <alignment horizontal="center" vertical="center"/>
    </xf>
    <xf numFmtId="38" fontId="28" fillId="2" borderId="65" xfId="4" applyFont="1" applyFill="1" applyBorder="1">
      <alignment vertical="center"/>
    </xf>
    <xf numFmtId="164" fontId="28" fillId="0" borderId="24" xfId="5" applyNumberFormat="1" applyFont="1" applyFill="1" applyBorder="1">
      <alignment vertical="center"/>
    </xf>
    <xf numFmtId="38" fontId="28" fillId="2" borderId="61" xfId="4" applyFont="1" applyFill="1" applyBorder="1">
      <alignment vertical="center"/>
    </xf>
    <xf numFmtId="164" fontId="28" fillId="0" borderId="42" xfId="5" applyNumberFormat="1" applyFont="1" applyFill="1" applyBorder="1">
      <alignment vertical="center"/>
    </xf>
    <xf numFmtId="38" fontId="28" fillId="0" borderId="66" xfId="4" applyFont="1" applyFill="1" applyBorder="1">
      <alignment vertical="center"/>
    </xf>
    <xf numFmtId="164" fontId="28" fillId="0" borderId="69" xfId="5" applyNumberFormat="1" applyFont="1" applyFill="1" applyBorder="1">
      <alignment vertical="center"/>
    </xf>
    <xf numFmtId="164" fontId="28" fillId="0" borderId="49" xfId="5" applyNumberFormat="1" applyFont="1" applyFill="1" applyBorder="1" applyAlignment="1">
      <alignment horizontal="center" vertical="center"/>
    </xf>
    <xf numFmtId="38" fontId="28" fillId="0" borderId="0" xfId="3" applyNumberFormat="1" applyFont="1">
      <alignment vertical="center"/>
    </xf>
    <xf numFmtId="0" fontId="29" fillId="3" borderId="0" xfId="3" applyFont="1" applyFill="1">
      <alignment vertical="center"/>
    </xf>
    <xf numFmtId="0" fontId="29" fillId="0" borderId="0" xfId="3" applyFont="1">
      <alignment vertical="center"/>
    </xf>
    <xf numFmtId="0" fontId="29" fillId="5" borderId="0" xfId="3" applyFont="1" applyFill="1">
      <alignment vertical="center"/>
    </xf>
    <xf numFmtId="3" fontId="0" fillId="0" borderId="0" xfId="0" applyNumberFormat="1" applyAlignment="1">
      <alignment horizontal="right" vertical="center"/>
    </xf>
    <xf numFmtId="0" fontId="31" fillId="0" borderId="0" xfId="7" applyFont="1"/>
    <xf numFmtId="0" fontId="5" fillId="0" borderId="0" xfId="7" applyFont="1"/>
    <xf numFmtId="0" fontId="5" fillId="4" borderId="0" xfId="7" applyFont="1" applyFill="1"/>
    <xf numFmtId="0" fontId="7" fillId="0" borderId="0" xfId="7" applyFont="1"/>
    <xf numFmtId="0" fontId="4" fillId="0" borderId="0" xfId="7" applyFont="1"/>
    <xf numFmtId="0" fontId="32" fillId="0" borderId="0" xfId="0" applyFont="1">
      <alignment vertical="center"/>
    </xf>
    <xf numFmtId="16" fontId="3" fillId="0" borderId="0" xfId="7" quotePrefix="1" applyNumberFormat="1" applyFont="1" applyAlignment="1">
      <alignment horizontal="right"/>
    </xf>
    <xf numFmtId="0" fontId="3" fillId="0" borderId="0" xfId="7" applyFont="1"/>
    <xf numFmtId="0" fontId="2" fillId="0" borderId="0" xfId="7" applyFont="1"/>
    <xf numFmtId="9" fontId="2" fillId="0" borderId="0" xfId="2" applyFont="1"/>
    <xf numFmtId="1" fontId="28" fillId="0" borderId="0" xfId="3" applyNumberFormat="1" applyFont="1">
      <alignment vertical="center"/>
    </xf>
    <xf numFmtId="1" fontId="15" fillId="0" borderId="0" xfId="3" applyNumberFormat="1" applyFont="1">
      <alignment vertical="center"/>
    </xf>
    <xf numFmtId="0" fontId="1" fillId="0" borderId="0" xfId="7" applyFont="1"/>
    <xf numFmtId="0" fontId="15" fillId="0" borderId="0" xfId="3" applyFont="1" applyFill="1">
      <alignment vertical="center"/>
    </xf>
  </cellXfs>
  <cellStyles count="8">
    <cellStyle name="čárky bez des. míst 2" xfId="6" xr:uid="{82502C7D-B4DD-45E1-BBF6-D8B363CF5AD9}"/>
    <cellStyle name="Comma" xfId="1" builtinId="3"/>
    <cellStyle name="Normal" xfId="0" builtinId="0"/>
    <cellStyle name="Normal 2" xfId="7" xr:uid="{590042F0-D81B-490B-9F38-915D840E1369}"/>
    <cellStyle name="Percent" xfId="2" builtinId="5"/>
    <cellStyle name="パーセント 2" xfId="5" xr:uid="{E2A82D46-C5E7-4FCB-AAFD-84DB6FF5BC2D}"/>
    <cellStyle name="桁区切り 2" xfId="4" xr:uid="{64F12623-92BA-40D6-A96E-A4582662C3EB}"/>
    <cellStyle name="標準 2" xfId="3" xr:uid="{9DC382E7-504C-418F-94B0-DA9C910C08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CZ+SK (EUR)</a:t>
            </a:r>
          </a:p>
        </c:rich>
      </c:tx>
      <c:layout>
        <c:manualLayout>
          <c:xMode val="edge"/>
          <c:yMode val="edge"/>
          <c:x val="0.30909711286089236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Graphs!$B$1:$G$1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Graphs!$H$3:$M$3</c:f>
              <c:numCache>
                <c:formatCode>#,##0</c:formatCode>
                <c:ptCount val="6"/>
                <c:pt idx="0">
                  <c:v>0</c:v>
                </c:pt>
                <c:pt idx="1">
                  <c:v>580500</c:v>
                </c:pt>
                <c:pt idx="2">
                  <c:v>1290123.45</c:v>
                </c:pt>
                <c:pt idx="3">
                  <c:v>1875783.987</c:v>
                </c:pt>
                <c:pt idx="4">
                  <c:v>2292622.4772000001</c:v>
                </c:pt>
                <c:pt idx="5">
                  <c:v>3100861.5560405995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25-49A5-B94A-65F3BEF3D9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117552"/>
        <c:axId val="436118032"/>
      </c:lineChart>
      <c:catAx>
        <c:axId val="43611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118032"/>
        <c:crosses val="autoZero"/>
        <c:auto val="1"/>
        <c:lblAlgn val="ctr"/>
        <c:lblOffset val="100"/>
        <c:noMultiLvlLbl val="0"/>
      </c:catAx>
      <c:valAx>
        <c:axId val="43611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117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Sales CZ+SK</a:t>
            </a:r>
            <a:r>
              <a:rPr lang="en-US" baseline="0"/>
              <a:t> (pcs)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Graphs!$B$1:$G$1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Graphs!$B$2:$G$2</c:f>
              <c:numCache>
                <c:formatCode>#,##0</c:formatCode>
                <c:ptCount val="6"/>
                <c:pt idx="0" formatCode="General">
                  <c:v>0</c:v>
                </c:pt>
                <c:pt idx="1">
                  <c:v>6000</c:v>
                </c:pt>
                <c:pt idx="2">
                  <c:v>11550</c:v>
                </c:pt>
                <c:pt idx="3">
                  <c:v>15400</c:v>
                </c:pt>
                <c:pt idx="4">
                  <c:v>18150</c:v>
                </c:pt>
                <c:pt idx="5">
                  <c:v>24200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E7-439F-9F68-4D3413BD20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752416"/>
        <c:axId val="436750496"/>
      </c:lineChart>
      <c:catAx>
        <c:axId val="436752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750496"/>
        <c:crosses val="autoZero"/>
        <c:auto val="1"/>
        <c:lblAlgn val="ctr"/>
        <c:lblOffset val="100"/>
        <c:noMultiLvlLbl val="0"/>
      </c:catAx>
      <c:valAx>
        <c:axId val="436750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752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Operating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Graphs!$B$1:$G$1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Graphs!$B$5:$G$5</c:f>
              <c:numCache>
                <c:formatCode>#,##0_);[Red]\(#,##0\)</c:formatCode>
                <c:ptCount val="6"/>
                <c:pt idx="0">
                  <c:v>-10</c:v>
                </c:pt>
                <c:pt idx="1">
                  <c:v>-90.121099999999956</c:v>
                </c:pt>
                <c:pt idx="2">
                  <c:v>7.6895622500001082</c:v>
                </c:pt>
                <c:pt idx="3">
                  <c:v>97.94259351900007</c:v>
                </c:pt>
                <c:pt idx="4">
                  <c:v>238.09276048708011</c:v>
                </c:pt>
                <c:pt idx="5">
                  <c:v>534.54063346839928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24-45B2-8155-3500674E85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401920"/>
        <c:axId val="511400960"/>
      </c:lineChart>
      <c:catAx>
        <c:axId val="511401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400960"/>
        <c:crosses val="autoZero"/>
        <c:auto val="1"/>
        <c:lblAlgn val="ctr"/>
        <c:lblOffset val="100"/>
        <c:noMultiLvlLbl val="0"/>
      </c:catAx>
      <c:valAx>
        <c:axId val="511400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401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Ratios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SC&amp;A/Sales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Graphs!$B$1:$G$1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Graphs!$C$6:$G$6</c:f>
              <c:numCache>
                <c:formatCode>0.0%</c:formatCode>
                <c:ptCount val="5"/>
                <c:pt idx="0">
                  <c:v>0.5557641688199827</c:v>
                </c:pt>
                <c:pt idx="1">
                  <c:v>0.3940970825311329</c:v>
                </c:pt>
                <c:pt idx="2">
                  <c:v>0.34803655325212024</c:v>
                </c:pt>
                <c:pt idx="3">
                  <c:v>0.29596225434447204</c:v>
                </c:pt>
                <c:pt idx="4">
                  <c:v>0.2274596623632576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A1-476B-A86F-CA77ECD1D421}"/>
            </c:ext>
          </c:extLst>
        </c:ser>
        <c:ser>
          <c:idx val="1"/>
          <c:order val="1"/>
          <c:tx>
            <c:v>OP/Sales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Graphs!$B$1:$G$1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Graphs!$C$7:$G$7</c:f>
              <c:numCache>
                <c:formatCode>0.0%</c:formatCode>
                <c:ptCount val="5"/>
                <c:pt idx="0">
                  <c:v>-0.15524737295434962</c:v>
                </c:pt>
                <c:pt idx="1">
                  <c:v>5.9603305792171341E-3</c:v>
                </c:pt>
                <c:pt idx="2">
                  <c:v>5.2214217733910141E-2</c:v>
                </c:pt>
                <c:pt idx="3">
                  <c:v>0.10385170818784996</c:v>
                </c:pt>
                <c:pt idx="4">
                  <c:v>0.17238455306948264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BA1-476B-A86F-CA77ECD1D4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9699184"/>
        <c:axId val="520616224"/>
      </c:lineChart>
      <c:catAx>
        <c:axId val="208969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0616224"/>
        <c:crosses val="autoZero"/>
        <c:auto val="1"/>
        <c:lblAlgn val="ctr"/>
        <c:lblOffset val="100"/>
        <c:noMultiLvlLbl val="0"/>
      </c:catAx>
      <c:valAx>
        <c:axId val="520616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89699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241402</xdr:colOff>
      <xdr:row>9</xdr:row>
      <xdr:rowOff>51206</xdr:rowOff>
    </xdr:from>
    <xdr:to>
      <xdr:col>7</xdr:col>
      <xdr:colOff>555956</xdr:colOff>
      <xdr:row>24</xdr:row>
      <xdr:rowOff>51206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A644706-0D29-2761-C448-07D7BDCE44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387706</xdr:colOff>
      <xdr:row>9</xdr:row>
      <xdr:rowOff>43890</xdr:rowOff>
    </xdr:from>
    <xdr:to>
      <xdr:col>16</xdr:col>
      <xdr:colOff>277978</xdr:colOff>
      <xdr:row>24</xdr:row>
      <xdr:rowOff>43890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DF142EB-3AE2-D03B-4227-150DDB9AE22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234086</xdr:colOff>
      <xdr:row>25</xdr:row>
      <xdr:rowOff>65836</xdr:rowOff>
    </xdr:from>
    <xdr:to>
      <xdr:col>7</xdr:col>
      <xdr:colOff>548640</xdr:colOff>
      <xdr:row>40</xdr:row>
      <xdr:rowOff>65836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46EAF5F-6CEA-7D3B-6426-4E19C774D2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405993</xdr:colOff>
      <xdr:row>25</xdr:row>
      <xdr:rowOff>65836</xdr:rowOff>
    </xdr:from>
    <xdr:to>
      <xdr:col>16</xdr:col>
      <xdr:colOff>230429</xdr:colOff>
      <xdr:row>40</xdr:row>
      <xdr:rowOff>65836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DFDAEF3-6D40-53C9-FFD4-68F4FD5B7D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342E1-D6F2-418A-983B-3C107C4210A3}">
  <sheetPr>
    <tabColor rgb="FF92D050"/>
    <pageSetUpPr fitToPage="1"/>
  </sheetPr>
  <dimension ref="B1:P69"/>
  <sheetViews>
    <sheetView tabSelected="1" zoomScale="80" zoomScaleNormal="80" workbookViewId="0">
      <pane ySplit="12" topLeftCell="A13" activePane="bottomLeft" state="frozen"/>
      <selection activeCell="M1" sqref="M1"/>
      <selection pane="bottomLeft" activeCell="G62" sqref="G62"/>
    </sheetView>
  </sheetViews>
  <sheetFormatPr defaultColWidth="8.33203125" defaultRowHeight="19.45" customHeight="1"/>
  <cols>
    <col min="1" max="1" width="5" style="2" customWidth="1"/>
    <col min="2" max="2" width="43" style="2" customWidth="1"/>
    <col min="3" max="3" width="10.5546875" style="2" bestFit="1" customWidth="1"/>
    <col min="4" max="4" width="9.6640625" style="2" bestFit="1" customWidth="1"/>
    <col min="5" max="5" width="12.5546875" style="144" customWidth="1"/>
    <col min="6" max="6" width="10.5546875" style="144" customWidth="1"/>
    <col min="7" max="7" width="14.77734375" style="2" bestFit="1" customWidth="1"/>
    <col min="8" max="8" width="12.33203125" style="2" customWidth="1"/>
    <col min="9" max="9" width="13.6640625" style="2" customWidth="1"/>
    <col min="10" max="10" width="15" style="2" customWidth="1"/>
    <col min="11" max="11" width="12.88671875" style="2" bestFit="1" customWidth="1"/>
    <col min="12" max="12" width="13.6640625" style="2" customWidth="1"/>
    <col min="13" max="13" width="12.88671875" style="144" bestFit="1" customWidth="1"/>
    <col min="14" max="14" width="13.33203125" style="144" customWidth="1"/>
    <col min="15" max="15" width="12.88671875" style="144" bestFit="1" customWidth="1"/>
    <col min="16" max="16" width="13.33203125" style="144" customWidth="1"/>
    <col min="17" max="242" width="8.33203125" style="2"/>
    <col min="243" max="243" width="49.6640625" style="2" customWidth="1"/>
    <col min="244" max="244" width="15.109375" style="2" customWidth="1"/>
    <col min="245" max="245" width="13.88671875" style="2" customWidth="1"/>
    <col min="246" max="246" width="11.6640625" style="2" customWidth="1"/>
    <col min="247" max="247" width="15.109375" style="2" customWidth="1"/>
    <col min="248" max="248" width="13.6640625" style="2" customWidth="1"/>
    <col min="249" max="249" width="15.109375" style="2" customWidth="1"/>
    <col min="250" max="250" width="16.5546875" style="2" customWidth="1"/>
    <col min="251" max="251" width="11.6640625" style="2" customWidth="1"/>
    <col min="252" max="252" width="15.109375" style="2" customWidth="1"/>
    <col min="253" max="253" width="11.6640625" style="2" customWidth="1"/>
    <col min="254" max="254" width="14.6640625" style="2" customWidth="1"/>
    <col min="255" max="256" width="8.33203125" style="2"/>
    <col min="257" max="257" width="13.6640625" style="2" customWidth="1"/>
    <col min="258" max="498" width="8.33203125" style="2"/>
    <col min="499" max="499" width="49.6640625" style="2" customWidth="1"/>
    <col min="500" max="500" width="15.109375" style="2" customWidth="1"/>
    <col min="501" max="501" width="13.88671875" style="2" customWidth="1"/>
    <col min="502" max="502" width="11.6640625" style="2" customWidth="1"/>
    <col min="503" max="503" width="15.109375" style="2" customWidth="1"/>
    <col min="504" max="504" width="13.6640625" style="2" customWidth="1"/>
    <col min="505" max="505" width="15.109375" style="2" customWidth="1"/>
    <col min="506" max="506" width="16.5546875" style="2" customWidth="1"/>
    <col min="507" max="507" width="11.6640625" style="2" customWidth="1"/>
    <col min="508" max="508" width="15.109375" style="2" customWidth="1"/>
    <col min="509" max="509" width="11.6640625" style="2" customWidth="1"/>
    <col min="510" max="510" width="14.6640625" style="2" customWidth="1"/>
    <col min="511" max="512" width="8.33203125" style="2"/>
    <col min="513" max="513" width="13.6640625" style="2" customWidth="1"/>
    <col min="514" max="754" width="8.33203125" style="2"/>
    <col min="755" max="755" width="49.6640625" style="2" customWidth="1"/>
    <col min="756" max="756" width="15.109375" style="2" customWidth="1"/>
    <col min="757" max="757" width="13.88671875" style="2" customWidth="1"/>
    <col min="758" max="758" width="11.6640625" style="2" customWidth="1"/>
    <col min="759" max="759" width="15.109375" style="2" customWidth="1"/>
    <col min="760" max="760" width="13.6640625" style="2" customWidth="1"/>
    <col min="761" max="761" width="15.109375" style="2" customWidth="1"/>
    <col min="762" max="762" width="16.5546875" style="2" customWidth="1"/>
    <col min="763" max="763" width="11.6640625" style="2" customWidth="1"/>
    <col min="764" max="764" width="15.109375" style="2" customWidth="1"/>
    <col min="765" max="765" width="11.6640625" style="2" customWidth="1"/>
    <col min="766" max="766" width="14.6640625" style="2" customWidth="1"/>
    <col min="767" max="768" width="8.33203125" style="2"/>
    <col min="769" max="769" width="13.6640625" style="2" customWidth="1"/>
    <col min="770" max="1010" width="8.33203125" style="2"/>
    <col min="1011" max="1011" width="49.6640625" style="2" customWidth="1"/>
    <col min="1012" max="1012" width="15.109375" style="2" customWidth="1"/>
    <col min="1013" max="1013" width="13.88671875" style="2" customWidth="1"/>
    <col min="1014" max="1014" width="11.6640625" style="2" customWidth="1"/>
    <col min="1015" max="1015" width="15.109375" style="2" customWidth="1"/>
    <col min="1016" max="1016" width="13.6640625" style="2" customWidth="1"/>
    <col min="1017" max="1017" width="15.109375" style="2" customWidth="1"/>
    <col min="1018" max="1018" width="16.5546875" style="2" customWidth="1"/>
    <col min="1019" max="1019" width="11.6640625" style="2" customWidth="1"/>
    <col min="1020" max="1020" width="15.109375" style="2" customWidth="1"/>
    <col min="1021" max="1021" width="11.6640625" style="2" customWidth="1"/>
    <col min="1022" max="1022" width="14.6640625" style="2" customWidth="1"/>
    <col min="1023" max="1024" width="8.33203125" style="2"/>
    <col min="1025" max="1025" width="13.6640625" style="2" customWidth="1"/>
    <col min="1026" max="1266" width="8.33203125" style="2"/>
    <col min="1267" max="1267" width="49.6640625" style="2" customWidth="1"/>
    <col min="1268" max="1268" width="15.109375" style="2" customWidth="1"/>
    <col min="1269" max="1269" width="13.88671875" style="2" customWidth="1"/>
    <col min="1270" max="1270" width="11.6640625" style="2" customWidth="1"/>
    <col min="1271" max="1271" width="15.109375" style="2" customWidth="1"/>
    <col min="1272" max="1272" width="13.6640625" style="2" customWidth="1"/>
    <col min="1273" max="1273" width="15.109375" style="2" customWidth="1"/>
    <col min="1274" max="1274" width="16.5546875" style="2" customWidth="1"/>
    <col min="1275" max="1275" width="11.6640625" style="2" customWidth="1"/>
    <col min="1276" max="1276" width="15.109375" style="2" customWidth="1"/>
    <col min="1277" max="1277" width="11.6640625" style="2" customWidth="1"/>
    <col min="1278" max="1278" width="14.6640625" style="2" customWidth="1"/>
    <col min="1279" max="1280" width="8.33203125" style="2"/>
    <col min="1281" max="1281" width="13.6640625" style="2" customWidth="1"/>
    <col min="1282" max="1522" width="8.33203125" style="2"/>
    <col min="1523" max="1523" width="49.6640625" style="2" customWidth="1"/>
    <col min="1524" max="1524" width="15.109375" style="2" customWidth="1"/>
    <col min="1525" max="1525" width="13.88671875" style="2" customWidth="1"/>
    <col min="1526" max="1526" width="11.6640625" style="2" customWidth="1"/>
    <col min="1527" max="1527" width="15.109375" style="2" customWidth="1"/>
    <col min="1528" max="1528" width="13.6640625" style="2" customWidth="1"/>
    <col min="1529" max="1529" width="15.109375" style="2" customWidth="1"/>
    <col min="1530" max="1530" width="16.5546875" style="2" customWidth="1"/>
    <col min="1531" max="1531" width="11.6640625" style="2" customWidth="1"/>
    <col min="1532" max="1532" width="15.109375" style="2" customWidth="1"/>
    <col min="1533" max="1533" width="11.6640625" style="2" customWidth="1"/>
    <col min="1534" max="1534" width="14.6640625" style="2" customWidth="1"/>
    <col min="1535" max="1536" width="8.33203125" style="2"/>
    <col min="1537" max="1537" width="13.6640625" style="2" customWidth="1"/>
    <col min="1538" max="1778" width="8.33203125" style="2"/>
    <col min="1779" max="1779" width="49.6640625" style="2" customWidth="1"/>
    <col min="1780" max="1780" width="15.109375" style="2" customWidth="1"/>
    <col min="1781" max="1781" width="13.88671875" style="2" customWidth="1"/>
    <col min="1782" max="1782" width="11.6640625" style="2" customWidth="1"/>
    <col min="1783" max="1783" width="15.109375" style="2" customWidth="1"/>
    <col min="1784" max="1784" width="13.6640625" style="2" customWidth="1"/>
    <col min="1785" max="1785" width="15.109375" style="2" customWidth="1"/>
    <col min="1786" max="1786" width="16.5546875" style="2" customWidth="1"/>
    <col min="1787" max="1787" width="11.6640625" style="2" customWidth="1"/>
    <col min="1788" max="1788" width="15.109375" style="2" customWidth="1"/>
    <col min="1789" max="1789" width="11.6640625" style="2" customWidth="1"/>
    <col min="1790" max="1790" width="14.6640625" style="2" customWidth="1"/>
    <col min="1791" max="1792" width="8.33203125" style="2"/>
    <col min="1793" max="1793" width="13.6640625" style="2" customWidth="1"/>
    <col min="1794" max="2034" width="8.33203125" style="2"/>
    <col min="2035" max="2035" width="49.6640625" style="2" customWidth="1"/>
    <col min="2036" max="2036" width="15.109375" style="2" customWidth="1"/>
    <col min="2037" max="2037" width="13.88671875" style="2" customWidth="1"/>
    <col min="2038" max="2038" width="11.6640625" style="2" customWidth="1"/>
    <col min="2039" max="2039" width="15.109375" style="2" customWidth="1"/>
    <col min="2040" max="2040" width="13.6640625" style="2" customWidth="1"/>
    <col min="2041" max="2041" width="15.109375" style="2" customWidth="1"/>
    <col min="2042" max="2042" width="16.5546875" style="2" customWidth="1"/>
    <col min="2043" max="2043" width="11.6640625" style="2" customWidth="1"/>
    <col min="2044" max="2044" width="15.109375" style="2" customWidth="1"/>
    <col min="2045" max="2045" width="11.6640625" style="2" customWidth="1"/>
    <col min="2046" max="2046" width="14.6640625" style="2" customWidth="1"/>
    <col min="2047" max="2048" width="8.33203125" style="2"/>
    <col min="2049" max="2049" width="13.6640625" style="2" customWidth="1"/>
    <col min="2050" max="2290" width="8.33203125" style="2"/>
    <col min="2291" max="2291" width="49.6640625" style="2" customWidth="1"/>
    <col min="2292" max="2292" width="15.109375" style="2" customWidth="1"/>
    <col min="2293" max="2293" width="13.88671875" style="2" customWidth="1"/>
    <col min="2294" max="2294" width="11.6640625" style="2" customWidth="1"/>
    <col min="2295" max="2295" width="15.109375" style="2" customWidth="1"/>
    <col min="2296" max="2296" width="13.6640625" style="2" customWidth="1"/>
    <col min="2297" max="2297" width="15.109375" style="2" customWidth="1"/>
    <col min="2298" max="2298" width="16.5546875" style="2" customWidth="1"/>
    <col min="2299" max="2299" width="11.6640625" style="2" customWidth="1"/>
    <col min="2300" max="2300" width="15.109375" style="2" customWidth="1"/>
    <col min="2301" max="2301" width="11.6640625" style="2" customWidth="1"/>
    <col min="2302" max="2302" width="14.6640625" style="2" customWidth="1"/>
    <col min="2303" max="2304" width="8.33203125" style="2"/>
    <col min="2305" max="2305" width="13.6640625" style="2" customWidth="1"/>
    <col min="2306" max="2546" width="8.33203125" style="2"/>
    <col min="2547" max="2547" width="49.6640625" style="2" customWidth="1"/>
    <col min="2548" max="2548" width="15.109375" style="2" customWidth="1"/>
    <col min="2549" max="2549" width="13.88671875" style="2" customWidth="1"/>
    <col min="2550" max="2550" width="11.6640625" style="2" customWidth="1"/>
    <col min="2551" max="2551" width="15.109375" style="2" customWidth="1"/>
    <col min="2552" max="2552" width="13.6640625" style="2" customWidth="1"/>
    <col min="2553" max="2553" width="15.109375" style="2" customWidth="1"/>
    <col min="2554" max="2554" width="16.5546875" style="2" customWidth="1"/>
    <col min="2555" max="2555" width="11.6640625" style="2" customWidth="1"/>
    <col min="2556" max="2556" width="15.109375" style="2" customWidth="1"/>
    <col min="2557" max="2557" width="11.6640625" style="2" customWidth="1"/>
    <col min="2558" max="2558" width="14.6640625" style="2" customWidth="1"/>
    <col min="2559" max="2560" width="8.33203125" style="2"/>
    <col min="2561" max="2561" width="13.6640625" style="2" customWidth="1"/>
    <col min="2562" max="2802" width="8.33203125" style="2"/>
    <col min="2803" max="2803" width="49.6640625" style="2" customWidth="1"/>
    <col min="2804" max="2804" width="15.109375" style="2" customWidth="1"/>
    <col min="2805" max="2805" width="13.88671875" style="2" customWidth="1"/>
    <col min="2806" max="2806" width="11.6640625" style="2" customWidth="1"/>
    <col min="2807" max="2807" width="15.109375" style="2" customWidth="1"/>
    <col min="2808" max="2808" width="13.6640625" style="2" customWidth="1"/>
    <col min="2809" max="2809" width="15.109375" style="2" customWidth="1"/>
    <col min="2810" max="2810" width="16.5546875" style="2" customWidth="1"/>
    <col min="2811" max="2811" width="11.6640625" style="2" customWidth="1"/>
    <col min="2812" max="2812" width="15.109375" style="2" customWidth="1"/>
    <col min="2813" max="2813" width="11.6640625" style="2" customWidth="1"/>
    <col min="2814" max="2814" width="14.6640625" style="2" customWidth="1"/>
    <col min="2815" max="2816" width="8.33203125" style="2"/>
    <col min="2817" max="2817" width="13.6640625" style="2" customWidth="1"/>
    <col min="2818" max="3058" width="8.33203125" style="2"/>
    <col min="3059" max="3059" width="49.6640625" style="2" customWidth="1"/>
    <col min="3060" max="3060" width="15.109375" style="2" customWidth="1"/>
    <col min="3061" max="3061" width="13.88671875" style="2" customWidth="1"/>
    <col min="3062" max="3062" width="11.6640625" style="2" customWidth="1"/>
    <col min="3063" max="3063" width="15.109375" style="2" customWidth="1"/>
    <col min="3064" max="3064" width="13.6640625" style="2" customWidth="1"/>
    <col min="3065" max="3065" width="15.109375" style="2" customWidth="1"/>
    <col min="3066" max="3066" width="16.5546875" style="2" customWidth="1"/>
    <col min="3067" max="3067" width="11.6640625" style="2" customWidth="1"/>
    <col min="3068" max="3068" width="15.109375" style="2" customWidth="1"/>
    <col min="3069" max="3069" width="11.6640625" style="2" customWidth="1"/>
    <col min="3070" max="3070" width="14.6640625" style="2" customWidth="1"/>
    <col min="3071" max="3072" width="8.33203125" style="2"/>
    <col min="3073" max="3073" width="13.6640625" style="2" customWidth="1"/>
    <col min="3074" max="3314" width="8.33203125" style="2"/>
    <col min="3315" max="3315" width="49.6640625" style="2" customWidth="1"/>
    <col min="3316" max="3316" width="15.109375" style="2" customWidth="1"/>
    <col min="3317" max="3317" width="13.88671875" style="2" customWidth="1"/>
    <col min="3318" max="3318" width="11.6640625" style="2" customWidth="1"/>
    <col min="3319" max="3319" width="15.109375" style="2" customWidth="1"/>
    <col min="3320" max="3320" width="13.6640625" style="2" customWidth="1"/>
    <col min="3321" max="3321" width="15.109375" style="2" customWidth="1"/>
    <col min="3322" max="3322" width="16.5546875" style="2" customWidth="1"/>
    <col min="3323" max="3323" width="11.6640625" style="2" customWidth="1"/>
    <col min="3324" max="3324" width="15.109375" style="2" customWidth="1"/>
    <col min="3325" max="3325" width="11.6640625" style="2" customWidth="1"/>
    <col min="3326" max="3326" width="14.6640625" style="2" customWidth="1"/>
    <col min="3327" max="3328" width="8.33203125" style="2"/>
    <col min="3329" max="3329" width="13.6640625" style="2" customWidth="1"/>
    <col min="3330" max="3570" width="8.33203125" style="2"/>
    <col min="3571" max="3571" width="49.6640625" style="2" customWidth="1"/>
    <col min="3572" max="3572" width="15.109375" style="2" customWidth="1"/>
    <col min="3573" max="3573" width="13.88671875" style="2" customWidth="1"/>
    <col min="3574" max="3574" width="11.6640625" style="2" customWidth="1"/>
    <col min="3575" max="3575" width="15.109375" style="2" customWidth="1"/>
    <col min="3576" max="3576" width="13.6640625" style="2" customWidth="1"/>
    <col min="3577" max="3577" width="15.109375" style="2" customWidth="1"/>
    <col min="3578" max="3578" width="16.5546875" style="2" customWidth="1"/>
    <col min="3579" max="3579" width="11.6640625" style="2" customWidth="1"/>
    <col min="3580" max="3580" width="15.109375" style="2" customWidth="1"/>
    <col min="3581" max="3581" width="11.6640625" style="2" customWidth="1"/>
    <col min="3582" max="3582" width="14.6640625" style="2" customWidth="1"/>
    <col min="3583" max="3584" width="8.33203125" style="2"/>
    <col min="3585" max="3585" width="13.6640625" style="2" customWidth="1"/>
    <col min="3586" max="3826" width="8.33203125" style="2"/>
    <col min="3827" max="3827" width="49.6640625" style="2" customWidth="1"/>
    <col min="3828" max="3828" width="15.109375" style="2" customWidth="1"/>
    <col min="3829" max="3829" width="13.88671875" style="2" customWidth="1"/>
    <col min="3830" max="3830" width="11.6640625" style="2" customWidth="1"/>
    <col min="3831" max="3831" width="15.109375" style="2" customWidth="1"/>
    <col min="3832" max="3832" width="13.6640625" style="2" customWidth="1"/>
    <col min="3833" max="3833" width="15.109375" style="2" customWidth="1"/>
    <col min="3834" max="3834" width="16.5546875" style="2" customWidth="1"/>
    <col min="3835" max="3835" width="11.6640625" style="2" customWidth="1"/>
    <col min="3836" max="3836" width="15.109375" style="2" customWidth="1"/>
    <col min="3837" max="3837" width="11.6640625" style="2" customWidth="1"/>
    <col min="3838" max="3838" width="14.6640625" style="2" customWidth="1"/>
    <col min="3839" max="3840" width="8.33203125" style="2"/>
    <col min="3841" max="3841" width="13.6640625" style="2" customWidth="1"/>
    <col min="3842" max="4082" width="8.33203125" style="2"/>
    <col min="4083" max="4083" width="49.6640625" style="2" customWidth="1"/>
    <col min="4084" max="4084" width="15.109375" style="2" customWidth="1"/>
    <col min="4085" max="4085" width="13.88671875" style="2" customWidth="1"/>
    <col min="4086" max="4086" width="11.6640625" style="2" customWidth="1"/>
    <col min="4087" max="4087" width="15.109375" style="2" customWidth="1"/>
    <col min="4088" max="4088" width="13.6640625" style="2" customWidth="1"/>
    <col min="4089" max="4089" width="15.109375" style="2" customWidth="1"/>
    <col min="4090" max="4090" width="16.5546875" style="2" customWidth="1"/>
    <col min="4091" max="4091" width="11.6640625" style="2" customWidth="1"/>
    <col min="4092" max="4092" width="15.109375" style="2" customWidth="1"/>
    <col min="4093" max="4093" width="11.6640625" style="2" customWidth="1"/>
    <col min="4094" max="4094" width="14.6640625" style="2" customWidth="1"/>
    <col min="4095" max="4096" width="8.33203125" style="2"/>
    <col min="4097" max="4097" width="13.6640625" style="2" customWidth="1"/>
    <col min="4098" max="4338" width="8.33203125" style="2"/>
    <col min="4339" max="4339" width="49.6640625" style="2" customWidth="1"/>
    <col min="4340" max="4340" width="15.109375" style="2" customWidth="1"/>
    <col min="4341" max="4341" width="13.88671875" style="2" customWidth="1"/>
    <col min="4342" max="4342" width="11.6640625" style="2" customWidth="1"/>
    <col min="4343" max="4343" width="15.109375" style="2" customWidth="1"/>
    <col min="4344" max="4344" width="13.6640625" style="2" customWidth="1"/>
    <col min="4345" max="4345" width="15.109375" style="2" customWidth="1"/>
    <col min="4346" max="4346" width="16.5546875" style="2" customWidth="1"/>
    <col min="4347" max="4347" width="11.6640625" style="2" customWidth="1"/>
    <col min="4348" max="4348" width="15.109375" style="2" customWidth="1"/>
    <col min="4349" max="4349" width="11.6640625" style="2" customWidth="1"/>
    <col min="4350" max="4350" width="14.6640625" style="2" customWidth="1"/>
    <col min="4351" max="4352" width="8.33203125" style="2"/>
    <col min="4353" max="4353" width="13.6640625" style="2" customWidth="1"/>
    <col min="4354" max="4594" width="8.33203125" style="2"/>
    <col min="4595" max="4595" width="49.6640625" style="2" customWidth="1"/>
    <col min="4596" max="4596" width="15.109375" style="2" customWidth="1"/>
    <col min="4597" max="4597" width="13.88671875" style="2" customWidth="1"/>
    <col min="4598" max="4598" width="11.6640625" style="2" customWidth="1"/>
    <col min="4599" max="4599" width="15.109375" style="2" customWidth="1"/>
    <col min="4600" max="4600" width="13.6640625" style="2" customWidth="1"/>
    <col min="4601" max="4601" width="15.109375" style="2" customWidth="1"/>
    <col min="4602" max="4602" width="16.5546875" style="2" customWidth="1"/>
    <col min="4603" max="4603" width="11.6640625" style="2" customWidth="1"/>
    <col min="4604" max="4604" width="15.109375" style="2" customWidth="1"/>
    <col min="4605" max="4605" width="11.6640625" style="2" customWidth="1"/>
    <col min="4606" max="4606" width="14.6640625" style="2" customWidth="1"/>
    <col min="4607" max="4608" width="8.33203125" style="2"/>
    <col min="4609" max="4609" width="13.6640625" style="2" customWidth="1"/>
    <col min="4610" max="4850" width="8.33203125" style="2"/>
    <col min="4851" max="4851" width="49.6640625" style="2" customWidth="1"/>
    <col min="4852" max="4852" width="15.109375" style="2" customWidth="1"/>
    <col min="4853" max="4853" width="13.88671875" style="2" customWidth="1"/>
    <col min="4854" max="4854" width="11.6640625" style="2" customWidth="1"/>
    <col min="4855" max="4855" width="15.109375" style="2" customWidth="1"/>
    <col min="4856" max="4856" width="13.6640625" style="2" customWidth="1"/>
    <col min="4857" max="4857" width="15.109375" style="2" customWidth="1"/>
    <col min="4858" max="4858" width="16.5546875" style="2" customWidth="1"/>
    <col min="4859" max="4859" width="11.6640625" style="2" customWidth="1"/>
    <col min="4860" max="4860" width="15.109375" style="2" customWidth="1"/>
    <col min="4861" max="4861" width="11.6640625" style="2" customWidth="1"/>
    <col min="4862" max="4862" width="14.6640625" style="2" customWidth="1"/>
    <col min="4863" max="4864" width="8.33203125" style="2"/>
    <col min="4865" max="4865" width="13.6640625" style="2" customWidth="1"/>
    <col min="4866" max="5106" width="8.33203125" style="2"/>
    <col min="5107" max="5107" width="49.6640625" style="2" customWidth="1"/>
    <col min="5108" max="5108" width="15.109375" style="2" customWidth="1"/>
    <col min="5109" max="5109" width="13.88671875" style="2" customWidth="1"/>
    <col min="5110" max="5110" width="11.6640625" style="2" customWidth="1"/>
    <col min="5111" max="5111" width="15.109375" style="2" customWidth="1"/>
    <col min="5112" max="5112" width="13.6640625" style="2" customWidth="1"/>
    <col min="5113" max="5113" width="15.109375" style="2" customWidth="1"/>
    <col min="5114" max="5114" width="16.5546875" style="2" customWidth="1"/>
    <col min="5115" max="5115" width="11.6640625" style="2" customWidth="1"/>
    <col min="5116" max="5116" width="15.109375" style="2" customWidth="1"/>
    <col min="5117" max="5117" width="11.6640625" style="2" customWidth="1"/>
    <col min="5118" max="5118" width="14.6640625" style="2" customWidth="1"/>
    <col min="5119" max="5120" width="8.33203125" style="2"/>
    <col min="5121" max="5121" width="13.6640625" style="2" customWidth="1"/>
    <col min="5122" max="5362" width="8.33203125" style="2"/>
    <col min="5363" max="5363" width="49.6640625" style="2" customWidth="1"/>
    <col min="5364" max="5364" width="15.109375" style="2" customWidth="1"/>
    <col min="5365" max="5365" width="13.88671875" style="2" customWidth="1"/>
    <col min="5366" max="5366" width="11.6640625" style="2" customWidth="1"/>
    <col min="5367" max="5367" width="15.109375" style="2" customWidth="1"/>
    <col min="5368" max="5368" width="13.6640625" style="2" customWidth="1"/>
    <col min="5369" max="5369" width="15.109375" style="2" customWidth="1"/>
    <col min="5370" max="5370" width="16.5546875" style="2" customWidth="1"/>
    <col min="5371" max="5371" width="11.6640625" style="2" customWidth="1"/>
    <col min="5372" max="5372" width="15.109375" style="2" customWidth="1"/>
    <col min="5373" max="5373" width="11.6640625" style="2" customWidth="1"/>
    <col min="5374" max="5374" width="14.6640625" style="2" customWidth="1"/>
    <col min="5375" max="5376" width="8.33203125" style="2"/>
    <col min="5377" max="5377" width="13.6640625" style="2" customWidth="1"/>
    <col min="5378" max="5618" width="8.33203125" style="2"/>
    <col min="5619" max="5619" width="49.6640625" style="2" customWidth="1"/>
    <col min="5620" max="5620" width="15.109375" style="2" customWidth="1"/>
    <col min="5621" max="5621" width="13.88671875" style="2" customWidth="1"/>
    <col min="5622" max="5622" width="11.6640625" style="2" customWidth="1"/>
    <col min="5623" max="5623" width="15.109375" style="2" customWidth="1"/>
    <col min="5624" max="5624" width="13.6640625" style="2" customWidth="1"/>
    <col min="5625" max="5625" width="15.109375" style="2" customWidth="1"/>
    <col min="5626" max="5626" width="16.5546875" style="2" customWidth="1"/>
    <col min="5627" max="5627" width="11.6640625" style="2" customWidth="1"/>
    <col min="5628" max="5628" width="15.109375" style="2" customWidth="1"/>
    <col min="5629" max="5629" width="11.6640625" style="2" customWidth="1"/>
    <col min="5630" max="5630" width="14.6640625" style="2" customWidth="1"/>
    <col min="5631" max="5632" width="8.33203125" style="2"/>
    <col min="5633" max="5633" width="13.6640625" style="2" customWidth="1"/>
    <col min="5634" max="5874" width="8.33203125" style="2"/>
    <col min="5875" max="5875" width="49.6640625" style="2" customWidth="1"/>
    <col min="5876" max="5876" width="15.109375" style="2" customWidth="1"/>
    <col min="5877" max="5877" width="13.88671875" style="2" customWidth="1"/>
    <col min="5878" max="5878" width="11.6640625" style="2" customWidth="1"/>
    <col min="5879" max="5879" width="15.109375" style="2" customWidth="1"/>
    <col min="5880" max="5880" width="13.6640625" style="2" customWidth="1"/>
    <col min="5881" max="5881" width="15.109375" style="2" customWidth="1"/>
    <col min="5882" max="5882" width="16.5546875" style="2" customWidth="1"/>
    <col min="5883" max="5883" width="11.6640625" style="2" customWidth="1"/>
    <col min="5884" max="5884" width="15.109375" style="2" customWidth="1"/>
    <col min="5885" max="5885" width="11.6640625" style="2" customWidth="1"/>
    <col min="5886" max="5886" width="14.6640625" style="2" customWidth="1"/>
    <col min="5887" max="5888" width="8.33203125" style="2"/>
    <col min="5889" max="5889" width="13.6640625" style="2" customWidth="1"/>
    <col min="5890" max="6130" width="8.33203125" style="2"/>
    <col min="6131" max="6131" width="49.6640625" style="2" customWidth="1"/>
    <col min="6132" max="6132" width="15.109375" style="2" customWidth="1"/>
    <col min="6133" max="6133" width="13.88671875" style="2" customWidth="1"/>
    <col min="6134" max="6134" width="11.6640625" style="2" customWidth="1"/>
    <col min="6135" max="6135" width="15.109375" style="2" customWidth="1"/>
    <col min="6136" max="6136" width="13.6640625" style="2" customWidth="1"/>
    <col min="6137" max="6137" width="15.109375" style="2" customWidth="1"/>
    <col min="6138" max="6138" width="16.5546875" style="2" customWidth="1"/>
    <col min="6139" max="6139" width="11.6640625" style="2" customWidth="1"/>
    <col min="6140" max="6140" width="15.109375" style="2" customWidth="1"/>
    <col min="6141" max="6141" width="11.6640625" style="2" customWidth="1"/>
    <col min="6142" max="6142" width="14.6640625" style="2" customWidth="1"/>
    <col min="6143" max="6144" width="8.33203125" style="2"/>
    <col min="6145" max="6145" width="13.6640625" style="2" customWidth="1"/>
    <col min="6146" max="6386" width="8.33203125" style="2"/>
    <col min="6387" max="6387" width="49.6640625" style="2" customWidth="1"/>
    <col min="6388" max="6388" width="15.109375" style="2" customWidth="1"/>
    <col min="6389" max="6389" width="13.88671875" style="2" customWidth="1"/>
    <col min="6390" max="6390" width="11.6640625" style="2" customWidth="1"/>
    <col min="6391" max="6391" width="15.109375" style="2" customWidth="1"/>
    <col min="6392" max="6392" width="13.6640625" style="2" customWidth="1"/>
    <col min="6393" max="6393" width="15.109375" style="2" customWidth="1"/>
    <col min="6394" max="6394" width="16.5546875" style="2" customWidth="1"/>
    <col min="6395" max="6395" width="11.6640625" style="2" customWidth="1"/>
    <col min="6396" max="6396" width="15.109375" style="2" customWidth="1"/>
    <col min="6397" max="6397" width="11.6640625" style="2" customWidth="1"/>
    <col min="6398" max="6398" width="14.6640625" style="2" customWidth="1"/>
    <col min="6399" max="6400" width="8.33203125" style="2"/>
    <col min="6401" max="6401" width="13.6640625" style="2" customWidth="1"/>
    <col min="6402" max="6642" width="8.33203125" style="2"/>
    <col min="6643" max="6643" width="49.6640625" style="2" customWidth="1"/>
    <col min="6644" max="6644" width="15.109375" style="2" customWidth="1"/>
    <col min="6645" max="6645" width="13.88671875" style="2" customWidth="1"/>
    <col min="6646" max="6646" width="11.6640625" style="2" customWidth="1"/>
    <col min="6647" max="6647" width="15.109375" style="2" customWidth="1"/>
    <col min="6648" max="6648" width="13.6640625" style="2" customWidth="1"/>
    <col min="6649" max="6649" width="15.109375" style="2" customWidth="1"/>
    <col min="6650" max="6650" width="16.5546875" style="2" customWidth="1"/>
    <col min="6651" max="6651" width="11.6640625" style="2" customWidth="1"/>
    <col min="6652" max="6652" width="15.109375" style="2" customWidth="1"/>
    <col min="6653" max="6653" width="11.6640625" style="2" customWidth="1"/>
    <col min="6654" max="6654" width="14.6640625" style="2" customWidth="1"/>
    <col min="6655" max="6656" width="8.33203125" style="2"/>
    <col min="6657" max="6657" width="13.6640625" style="2" customWidth="1"/>
    <col min="6658" max="6898" width="8.33203125" style="2"/>
    <col min="6899" max="6899" width="49.6640625" style="2" customWidth="1"/>
    <col min="6900" max="6900" width="15.109375" style="2" customWidth="1"/>
    <col min="6901" max="6901" width="13.88671875" style="2" customWidth="1"/>
    <col min="6902" max="6902" width="11.6640625" style="2" customWidth="1"/>
    <col min="6903" max="6903" width="15.109375" style="2" customWidth="1"/>
    <col min="6904" max="6904" width="13.6640625" style="2" customWidth="1"/>
    <col min="6905" max="6905" width="15.109375" style="2" customWidth="1"/>
    <col min="6906" max="6906" width="16.5546875" style="2" customWidth="1"/>
    <col min="6907" max="6907" width="11.6640625" style="2" customWidth="1"/>
    <col min="6908" max="6908" width="15.109375" style="2" customWidth="1"/>
    <col min="6909" max="6909" width="11.6640625" style="2" customWidth="1"/>
    <col min="6910" max="6910" width="14.6640625" style="2" customWidth="1"/>
    <col min="6911" max="6912" width="8.33203125" style="2"/>
    <col min="6913" max="6913" width="13.6640625" style="2" customWidth="1"/>
    <col min="6914" max="7154" width="8.33203125" style="2"/>
    <col min="7155" max="7155" width="49.6640625" style="2" customWidth="1"/>
    <col min="7156" max="7156" width="15.109375" style="2" customWidth="1"/>
    <col min="7157" max="7157" width="13.88671875" style="2" customWidth="1"/>
    <col min="7158" max="7158" width="11.6640625" style="2" customWidth="1"/>
    <col min="7159" max="7159" width="15.109375" style="2" customWidth="1"/>
    <col min="7160" max="7160" width="13.6640625" style="2" customWidth="1"/>
    <col min="7161" max="7161" width="15.109375" style="2" customWidth="1"/>
    <col min="7162" max="7162" width="16.5546875" style="2" customWidth="1"/>
    <col min="7163" max="7163" width="11.6640625" style="2" customWidth="1"/>
    <col min="7164" max="7164" width="15.109375" style="2" customWidth="1"/>
    <col min="7165" max="7165" width="11.6640625" style="2" customWidth="1"/>
    <col min="7166" max="7166" width="14.6640625" style="2" customWidth="1"/>
    <col min="7167" max="7168" width="8.33203125" style="2"/>
    <col min="7169" max="7169" width="13.6640625" style="2" customWidth="1"/>
    <col min="7170" max="7410" width="8.33203125" style="2"/>
    <col min="7411" max="7411" width="49.6640625" style="2" customWidth="1"/>
    <col min="7412" max="7412" width="15.109375" style="2" customWidth="1"/>
    <col min="7413" max="7413" width="13.88671875" style="2" customWidth="1"/>
    <col min="7414" max="7414" width="11.6640625" style="2" customWidth="1"/>
    <col min="7415" max="7415" width="15.109375" style="2" customWidth="1"/>
    <col min="7416" max="7416" width="13.6640625" style="2" customWidth="1"/>
    <col min="7417" max="7417" width="15.109375" style="2" customWidth="1"/>
    <col min="7418" max="7418" width="16.5546875" style="2" customWidth="1"/>
    <col min="7419" max="7419" width="11.6640625" style="2" customWidth="1"/>
    <col min="7420" max="7420" width="15.109375" style="2" customWidth="1"/>
    <col min="7421" max="7421" width="11.6640625" style="2" customWidth="1"/>
    <col min="7422" max="7422" width="14.6640625" style="2" customWidth="1"/>
    <col min="7423" max="7424" width="8.33203125" style="2"/>
    <col min="7425" max="7425" width="13.6640625" style="2" customWidth="1"/>
    <col min="7426" max="7666" width="8.33203125" style="2"/>
    <col min="7667" max="7667" width="49.6640625" style="2" customWidth="1"/>
    <col min="7668" max="7668" width="15.109375" style="2" customWidth="1"/>
    <col min="7669" max="7669" width="13.88671875" style="2" customWidth="1"/>
    <col min="7670" max="7670" width="11.6640625" style="2" customWidth="1"/>
    <col min="7671" max="7671" width="15.109375" style="2" customWidth="1"/>
    <col min="7672" max="7672" width="13.6640625" style="2" customWidth="1"/>
    <col min="7673" max="7673" width="15.109375" style="2" customWidth="1"/>
    <col min="7674" max="7674" width="16.5546875" style="2" customWidth="1"/>
    <col min="7675" max="7675" width="11.6640625" style="2" customWidth="1"/>
    <col min="7676" max="7676" width="15.109375" style="2" customWidth="1"/>
    <col min="7677" max="7677" width="11.6640625" style="2" customWidth="1"/>
    <col min="7678" max="7678" width="14.6640625" style="2" customWidth="1"/>
    <col min="7679" max="7680" width="8.33203125" style="2"/>
    <col min="7681" max="7681" width="13.6640625" style="2" customWidth="1"/>
    <col min="7682" max="7922" width="8.33203125" style="2"/>
    <col min="7923" max="7923" width="49.6640625" style="2" customWidth="1"/>
    <col min="7924" max="7924" width="15.109375" style="2" customWidth="1"/>
    <col min="7925" max="7925" width="13.88671875" style="2" customWidth="1"/>
    <col min="7926" max="7926" width="11.6640625" style="2" customWidth="1"/>
    <col min="7927" max="7927" width="15.109375" style="2" customWidth="1"/>
    <col min="7928" max="7928" width="13.6640625" style="2" customWidth="1"/>
    <col min="7929" max="7929" width="15.109375" style="2" customWidth="1"/>
    <col min="7930" max="7930" width="16.5546875" style="2" customWidth="1"/>
    <col min="7931" max="7931" width="11.6640625" style="2" customWidth="1"/>
    <col min="7932" max="7932" width="15.109375" style="2" customWidth="1"/>
    <col min="7933" max="7933" width="11.6640625" style="2" customWidth="1"/>
    <col min="7934" max="7934" width="14.6640625" style="2" customWidth="1"/>
    <col min="7935" max="7936" width="8.33203125" style="2"/>
    <col min="7937" max="7937" width="13.6640625" style="2" customWidth="1"/>
    <col min="7938" max="8178" width="8.33203125" style="2"/>
    <col min="8179" max="8179" width="49.6640625" style="2" customWidth="1"/>
    <col min="8180" max="8180" width="15.109375" style="2" customWidth="1"/>
    <col min="8181" max="8181" width="13.88671875" style="2" customWidth="1"/>
    <col min="8182" max="8182" width="11.6640625" style="2" customWidth="1"/>
    <col min="8183" max="8183" width="15.109375" style="2" customWidth="1"/>
    <col min="8184" max="8184" width="13.6640625" style="2" customWidth="1"/>
    <col min="8185" max="8185" width="15.109375" style="2" customWidth="1"/>
    <col min="8186" max="8186" width="16.5546875" style="2" customWidth="1"/>
    <col min="8187" max="8187" width="11.6640625" style="2" customWidth="1"/>
    <col min="8188" max="8188" width="15.109375" style="2" customWidth="1"/>
    <col min="8189" max="8189" width="11.6640625" style="2" customWidth="1"/>
    <col min="8190" max="8190" width="14.6640625" style="2" customWidth="1"/>
    <col min="8191" max="8192" width="8.33203125" style="2"/>
    <col min="8193" max="8193" width="13.6640625" style="2" customWidth="1"/>
    <col min="8194" max="8434" width="8.33203125" style="2"/>
    <col min="8435" max="8435" width="49.6640625" style="2" customWidth="1"/>
    <col min="8436" max="8436" width="15.109375" style="2" customWidth="1"/>
    <col min="8437" max="8437" width="13.88671875" style="2" customWidth="1"/>
    <col min="8438" max="8438" width="11.6640625" style="2" customWidth="1"/>
    <col min="8439" max="8439" width="15.109375" style="2" customWidth="1"/>
    <col min="8440" max="8440" width="13.6640625" style="2" customWidth="1"/>
    <col min="8441" max="8441" width="15.109375" style="2" customWidth="1"/>
    <col min="8442" max="8442" width="16.5546875" style="2" customWidth="1"/>
    <col min="8443" max="8443" width="11.6640625" style="2" customWidth="1"/>
    <col min="8444" max="8444" width="15.109375" style="2" customWidth="1"/>
    <col min="8445" max="8445" width="11.6640625" style="2" customWidth="1"/>
    <col min="8446" max="8446" width="14.6640625" style="2" customWidth="1"/>
    <col min="8447" max="8448" width="8.33203125" style="2"/>
    <col min="8449" max="8449" width="13.6640625" style="2" customWidth="1"/>
    <col min="8450" max="8690" width="8.33203125" style="2"/>
    <col min="8691" max="8691" width="49.6640625" style="2" customWidth="1"/>
    <col min="8692" max="8692" width="15.109375" style="2" customWidth="1"/>
    <col min="8693" max="8693" width="13.88671875" style="2" customWidth="1"/>
    <col min="8694" max="8694" width="11.6640625" style="2" customWidth="1"/>
    <col min="8695" max="8695" width="15.109375" style="2" customWidth="1"/>
    <col min="8696" max="8696" width="13.6640625" style="2" customWidth="1"/>
    <col min="8697" max="8697" width="15.109375" style="2" customWidth="1"/>
    <col min="8698" max="8698" width="16.5546875" style="2" customWidth="1"/>
    <col min="8699" max="8699" width="11.6640625" style="2" customWidth="1"/>
    <col min="8700" max="8700" width="15.109375" style="2" customWidth="1"/>
    <col min="8701" max="8701" width="11.6640625" style="2" customWidth="1"/>
    <col min="8702" max="8702" width="14.6640625" style="2" customWidth="1"/>
    <col min="8703" max="8704" width="8.33203125" style="2"/>
    <col min="8705" max="8705" width="13.6640625" style="2" customWidth="1"/>
    <col min="8706" max="8946" width="8.33203125" style="2"/>
    <col min="8947" max="8947" width="49.6640625" style="2" customWidth="1"/>
    <col min="8948" max="8948" width="15.109375" style="2" customWidth="1"/>
    <col min="8949" max="8949" width="13.88671875" style="2" customWidth="1"/>
    <col min="8950" max="8950" width="11.6640625" style="2" customWidth="1"/>
    <col min="8951" max="8951" width="15.109375" style="2" customWidth="1"/>
    <col min="8952" max="8952" width="13.6640625" style="2" customWidth="1"/>
    <col min="8953" max="8953" width="15.109375" style="2" customWidth="1"/>
    <col min="8954" max="8954" width="16.5546875" style="2" customWidth="1"/>
    <col min="8955" max="8955" width="11.6640625" style="2" customWidth="1"/>
    <col min="8956" max="8956" width="15.109375" style="2" customWidth="1"/>
    <col min="8957" max="8957" width="11.6640625" style="2" customWidth="1"/>
    <col min="8958" max="8958" width="14.6640625" style="2" customWidth="1"/>
    <col min="8959" max="8960" width="8.33203125" style="2"/>
    <col min="8961" max="8961" width="13.6640625" style="2" customWidth="1"/>
    <col min="8962" max="9202" width="8.33203125" style="2"/>
    <col min="9203" max="9203" width="49.6640625" style="2" customWidth="1"/>
    <col min="9204" max="9204" width="15.109375" style="2" customWidth="1"/>
    <col min="9205" max="9205" width="13.88671875" style="2" customWidth="1"/>
    <col min="9206" max="9206" width="11.6640625" style="2" customWidth="1"/>
    <col min="9207" max="9207" width="15.109375" style="2" customWidth="1"/>
    <col min="9208" max="9208" width="13.6640625" style="2" customWidth="1"/>
    <col min="9209" max="9209" width="15.109375" style="2" customWidth="1"/>
    <col min="9210" max="9210" width="16.5546875" style="2" customWidth="1"/>
    <col min="9211" max="9211" width="11.6640625" style="2" customWidth="1"/>
    <col min="9212" max="9212" width="15.109375" style="2" customWidth="1"/>
    <col min="9213" max="9213" width="11.6640625" style="2" customWidth="1"/>
    <col min="9214" max="9214" width="14.6640625" style="2" customWidth="1"/>
    <col min="9215" max="9216" width="8.33203125" style="2"/>
    <col min="9217" max="9217" width="13.6640625" style="2" customWidth="1"/>
    <col min="9218" max="9458" width="8.33203125" style="2"/>
    <col min="9459" max="9459" width="49.6640625" style="2" customWidth="1"/>
    <col min="9460" max="9460" width="15.109375" style="2" customWidth="1"/>
    <col min="9461" max="9461" width="13.88671875" style="2" customWidth="1"/>
    <col min="9462" max="9462" width="11.6640625" style="2" customWidth="1"/>
    <col min="9463" max="9463" width="15.109375" style="2" customWidth="1"/>
    <col min="9464" max="9464" width="13.6640625" style="2" customWidth="1"/>
    <col min="9465" max="9465" width="15.109375" style="2" customWidth="1"/>
    <col min="9466" max="9466" width="16.5546875" style="2" customWidth="1"/>
    <col min="9467" max="9467" width="11.6640625" style="2" customWidth="1"/>
    <col min="9468" max="9468" width="15.109375" style="2" customWidth="1"/>
    <col min="9469" max="9469" width="11.6640625" style="2" customWidth="1"/>
    <col min="9470" max="9470" width="14.6640625" style="2" customWidth="1"/>
    <col min="9471" max="9472" width="8.33203125" style="2"/>
    <col min="9473" max="9473" width="13.6640625" style="2" customWidth="1"/>
    <col min="9474" max="9714" width="8.33203125" style="2"/>
    <col min="9715" max="9715" width="49.6640625" style="2" customWidth="1"/>
    <col min="9716" max="9716" width="15.109375" style="2" customWidth="1"/>
    <col min="9717" max="9717" width="13.88671875" style="2" customWidth="1"/>
    <col min="9718" max="9718" width="11.6640625" style="2" customWidth="1"/>
    <col min="9719" max="9719" width="15.109375" style="2" customWidth="1"/>
    <col min="9720" max="9720" width="13.6640625" style="2" customWidth="1"/>
    <col min="9721" max="9721" width="15.109375" style="2" customWidth="1"/>
    <col min="9722" max="9722" width="16.5546875" style="2" customWidth="1"/>
    <col min="9723" max="9723" width="11.6640625" style="2" customWidth="1"/>
    <col min="9724" max="9724" width="15.109375" style="2" customWidth="1"/>
    <col min="9725" max="9725" width="11.6640625" style="2" customWidth="1"/>
    <col min="9726" max="9726" width="14.6640625" style="2" customWidth="1"/>
    <col min="9727" max="9728" width="8.33203125" style="2"/>
    <col min="9729" max="9729" width="13.6640625" style="2" customWidth="1"/>
    <col min="9730" max="9970" width="8.33203125" style="2"/>
    <col min="9971" max="9971" width="49.6640625" style="2" customWidth="1"/>
    <col min="9972" max="9972" width="15.109375" style="2" customWidth="1"/>
    <col min="9973" max="9973" width="13.88671875" style="2" customWidth="1"/>
    <col min="9974" max="9974" width="11.6640625" style="2" customWidth="1"/>
    <col min="9975" max="9975" width="15.109375" style="2" customWidth="1"/>
    <col min="9976" max="9976" width="13.6640625" style="2" customWidth="1"/>
    <col min="9977" max="9977" width="15.109375" style="2" customWidth="1"/>
    <col min="9978" max="9978" width="16.5546875" style="2" customWidth="1"/>
    <col min="9979" max="9979" width="11.6640625" style="2" customWidth="1"/>
    <col min="9980" max="9980" width="15.109375" style="2" customWidth="1"/>
    <col min="9981" max="9981" width="11.6640625" style="2" customWidth="1"/>
    <col min="9982" max="9982" width="14.6640625" style="2" customWidth="1"/>
    <col min="9983" max="9984" width="8.33203125" style="2"/>
    <col min="9985" max="9985" width="13.6640625" style="2" customWidth="1"/>
    <col min="9986" max="10226" width="8.33203125" style="2"/>
    <col min="10227" max="10227" width="49.6640625" style="2" customWidth="1"/>
    <col min="10228" max="10228" width="15.109375" style="2" customWidth="1"/>
    <col min="10229" max="10229" width="13.88671875" style="2" customWidth="1"/>
    <col min="10230" max="10230" width="11.6640625" style="2" customWidth="1"/>
    <col min="10231" max="10231" width="15.109375" style="2" customWidth="1"/>
    <col min="10232" max="10232" width="13.6640625" style="2" customWidth="1"/>
    <col min="10233" max="10233" width="15.109375" style="2" customWidth="1"/>
    <col min="10234" max="10234" width="16.5546875" style="2" customWidth="1"/>
    <col min="10235" max="10235" width="11.6640625" style="2" customWidth="1"/>
    <col min="10236" max="10236" width="15.109375" style="2" customWidth="1"/>
    <col min="10237" max="10237" width="11.6640625" style="2" customWidth="1"/>
    <col min="10238" max="10238" width="14.6640625" style="2" customWidth="1"/>
    <col min="10239" max="10240" width="8.33203125" style="2"/>
    <col min="10241" max="10241" width="13.6640625" style="2" customWidth="1"/>
    <col min="10242" max="10482" width="8.33203125" style="2"/>
    <col min="10483" max="10483" width="49.6640625" style="2" customWidth="1"/>
    <col min="10484" max="10484" width="15.109375" style="2" customWidth="1"/>
    <col min="10485" max="10485" width="13.88671875" style="2" customWidth="1"/>
    <col min="10486" max="10486" width="11.6640625" style="2" customWidth="1"/>
    <col min="10487" max="10487" width="15.109375" style="2" customWidth="1"/>
    <col min="10488" max="10488" width="13.6640625" style="2" customWidth="1"/>
    <col min="10489" max="10489" width="15.109375" style="2" customWidth="1"/>
    <col min="10490" max="10490" width="16.5546875" style="2" customWidth="1"/>
    <col min="10491" max="10491" width="11.6640625" style="2" customWidth="1"/>
    <col min="10492" max="10492" width="15.109375" style="2" customWidth="1"/>
    <col min="10493" max="10493" width="11.6640625" style="2" customWidth="1"/>
    <col min="10494" max="10494" width="14.6640625" style="2" customWidth="1"/>
    <col min="10495" max="10496" width="8.33203125" style="2"/>
    <col min="10497" max="10497" width="13.6640625" style="2" customWidth="1"/>
    <col min="10498" max="10738" width="8.33203125" style="2"/>
    <col min="10739" max="10739" width="49.6640625" style="2" customWidth="1"/>
    <col min="10740" max="10740" width="15.109375" style="2" customWidth="1"/>
    <col min="10741" max="10741" width="13.88671875" style="2" customWidth="1"/>
    <col min="10742" max="10742" width="11.6640625" style="2" customWidth="1"/>
    <col min="10743" max="10743" width="15.109375" style="2" customWidth="1"/>
    <col min="10744" max="10744" width="13.6640625" style="2" customWidth="1"/>
    <col min="10745" max="10745" width="15.109375" style="2" customWidth="1"/>
    <col min="10746" max="10746" width="16.5546875" style="2" customWidth="1"/>
    <col min="10747" max="10747" width="11.6640625" style="2" customWidth="1"/>
    <col min="10748" max="10748" width="15.109375" style="2" customWidth="1"/>
    <col min="10749" max="10749" width="11.6640625" style="2" customWidth="1"/>
    <col min="10750" max="10750" width="14.6640625" style="2" customWidth="1"/>
    <col min="10751" max="10752" width="8.33203125" style="2"/>
    <col min="10753" max="10753" width="13.6640625" style="2" customWidth="1"/>
    <col min="10754" max="10994" width="8.33203125" style="2"/>
    <col min="10995" max="10995" width="49.6640625" style="2" customWidth="1"/>
    <col min="10996" max="10996" width="15.109375" style="2" customWidth="1"/>
    <col min="10997" max="10997" width="13.88671875" style="2" customWidth="1"/>
    <col min="10998" max="10998" width="11.6640625" style="2" customWidth="1"/>
    <col min="10999" max="10999" width="15.109375" style="2" customWidth="1"/>
    <col min="11000" max="11000" width="13.6640625" style="2" customWidth="1"/>
    <col min="11001" max="11001" width="15.109375" style="2" customWidth="1"/>
    <col min="11002" max="11002" width="16.5546875" style="2" customWidth="1"/>
    <col min="11003" max="11003" width="11.6640625" style="2" customWidth="1"/>
    <col min="11004" max="11004" width="15.109375" style="2" customWidth="1"/>
    <col min="11005" max="11005" width="11.6640625" style="2" customWidth="1"/>
    <col min="11006" max="11006" width="14.6640625" style="2" customWidth="1"/>
    <col min="11007" max="11008" width="8.33203125" style="2"/>
    <col min="11009" max="11009" width="13.6640625" style="2" customWidth="1"/>
    <col min="11010" max="11250" width="8.33203125" style="2"/>
    <col min="11251" max="11251" width="49.6640625" style="2" customWidth="1"/>
    <col min="11252" max="11252" width="15.109375" style="2" customWidth="1"/>
    <col min="11253" max="11253" width="13.88671875" style="2" customWidth="1"/>
    <col min="11254" max="11254" width="11.6640625" style="2" customWidth="1"/>
    <col min="11255" max="11255" width="15.109375" style="2" customWidth="1"/>
    <col min="11256" max="11256" width="13.6640625" style="2" customWidth="1"/>
    <col min="11257" max="11257" width="15.109375" style="2" customWidth="1"/>
    <col min="11258" max="11258" width="16.5546875" style="2" customWidth="1"/>
    <col min="11259" max="11259" width="11.6640625" style="2" customWidth="1"/>
    <col min="11260" max="11260" width="15.109375" style="2" customWidth="1"/>
    <col min="11261" max="11261" width="11.6640625" style="2" customWidth="1"/>
    <col min="11262" max="11262" width="14.6640625" style="2" customWidth="1"/>
    <col min="11263" max="11264" width="8.33203125" style="2"/>
    <col min="11265" max="11265" width="13.6640625" style="2" customWidth="1"/>
    <col min="11266" max="11506" width="8.33203125" style="2"/>
    <col min="11507" max="11507" width="49.6640625" style="2" customWidth="1"/>
    <col min="11508" max="11508" width="15.109375" style="2" customWidth="1"/>
    <col min="11509" max="11509" width="13.88671875" style="2" customWidth="1"/>
    <col min="11510" max="11510" width="11.6640625" style="2" customWidth="1"/>
    <col min="11511" max="11511" width="15.109375" style="2" customWidth="1"/>
    <col min="11512" max="11512" width="13.6640625" style="2" customWidth="1"/>
    <col min="11513" max="11513" width="15.109375" style="2" customWidth="1"/>
    <col min="11514" max="11514" width="16.5546875" style="2" customWidth="1"/>
    <col min="11515" max="11515" width="11.6640625" style="2" customWidth="1"/>
    <col min="11516" max="11516" width="15.109375" style="2" customWidth="1"/>
    <col min="11517" max="11517" width="11.6640625" style="2" customWidth="1"/>
    <col min="11518" max="11518" width="14.6640625" style="2" customWidth="1"/>
    <col min="11519" max="11520" width="8.33203125" style="2"/>
    <col min="11521" max="11521" width="13.6640625" style="2" customWidth="1"/>
    <col min="11522" max="11762" width="8.33203125" style="2"/>
    <col min="11763" max="11763" width="49.6640625" style="2" customWidth="1"/>
    <col min="11764" max="11764" width="15.109375" style="2" customWidth="1"/>
    <col min="11765" max="11765" width="13.88671875" style="2" customWidth="1"/>
    <col min="11766" max="11766" width="11.6640625" style="2" customWidth="1"/>
    <col min="11767" max="11767" width="15.109375" style="2" customWidth="1"/>
    <col min="11768" max="11768" width="13.6640625" style="2" customWidth="1"/>
    <col min="11769" max="11769" width="15.109375" style="2" customWidth="1"/>
    <col min="11770" max="11770" width="16.5546875" style="2" customWidth="1"/>
    <col min="11771" max="11771" width="11.6640625" style="2" customWidth="1"/>
    <col min="11772" max="11772" width="15.109375" style="2" customWidth="1"/>
    <col min="11773" max="11773" width="11.6640625" style="2" customWidth="1"/>
    <col min="11774" max="11774" width="14.6640625" style="2" customWidth="1"/>
    <col min="11775" max="11776" width="8.33203125" style="2"/>
    <col min="11777" max="11777" width="13.6640625" style="2" customWidth="1"/>
    <col min="11778" max="12018" width="8.33203125" style="2"/>
    <col min="12019" max="12019" width="49.6640625" style="2" customWidth="1"/>
    <col min="12020" max="12020" width="15.109375" style="2" customWidth="1"/>
    <col min="12021" max="12021" width="13.88671875" style="2" customWidth="1"/>
    <col min="12022" max="12022" width="11.6640625" style="2" customWidth="1"/>
    <col min="12023" max="12023" width="15.109375" style="2" customWidth="1"/>
    <col min="12024" max="12024" width="13.6640625" style="2" customWidth="1"/>
    <col min="12025" max="12025" width="15.109375" style="2" customWidth="1"/>
    <col min="12026" max="12026" width="16.5546875" style="2" customWidth="1"/>
    <col min="12027" max="12027" width="11.6640625" style="2" customWidth="1"/>
    <col min="12028" max="12028" width="15.109375" style="2" customWidth="1"/>
    <col min="12029" max="12029" width="11.6640625" style="2" customWidth="1"/>
    <col min="12030" max="12030" width="14.6640625" style="2" customWidth="1"/>
    <col min="12031" max="12032" width="8.33203125" style="2"/>
    <col min="12033" max="12033" width="13.6640625" style="2" customWidth="1"/>
    <col min="12034" max="12274" width="8.33203125" style="2"/>
    <col min="12275" max="12275" width="49.6640625" style="2" customWidth="1"/>
    <col min="12276" max="12276" width="15.109375" style="2" customWidth="1"/>
    <col min="12277" max="12277" width="13.88671875" style="2" customWidth="1"/>
    <col min="12278" max="12278" width="11.6640625" style="2" customWidth="1"/>
    <col min="12279" max="12279" width="15.109375" style="2" customWidth="1"/>
    <col min="12280" max="12280" width="13.6640625" style="2" customWidth="1"/>
    <col min="12281" max="12281" width="15.109375" style="2" customWidth="1"/>
    <col min="12282" max="12282" width="16.5546875" style="2" customWidth="1"/>
    <col min="12283" max="12283" width="11.6640625" style="2" customWidth="1"/>
    <col min="12284" max="12284" width="15.109375" style="2" customWidth="1"/>
    <col min="12285" max="12285" width="11.6640625" style="2" customWidth="1"/>
    <col min="12286" max="12286" width="14.6640625" style="2" customWidth="1"/>
    <col min="12287" max="12288" width="8.33203125" style="2"/>
    <col min="12289" max="12289" width="13.6640625" style="2" customWidth="1"/>
    <col min="12290" max="12530" width="8.33203125" style="2"/>
    <col min="12531" max="12531" width="49.6640625" style="2" customWidth="1"/>
    <col min="12532" max="12532" width="15.109375" style="2" customWidth="1"/>
    <col min="12533" max="12533" width="13.88671875" style="2" customWidth="1"/>
    <col min="12534" max="12534" width="11.6640625" style="2" customWidth="1"/>
    <col min="12535" max="12535" width="15.109375" style="2" customWidth="1"/>
    <col min="12536" max="12536" width="13.6640625" style="2" customWidth="1"/>
    <col min="12537" max="12537" width="15.109375" style="2" customWidth="1"/>
    <col min="12538" max="12538" width="16.5546875" style="2" customWidth="1"/>
    <col min="12539" max="12539" width="11.6640625" style="2" customWidth="1"/>
    <col min="12540" max="12540" width="15.109375" style="2" customWidth="1"/>
    <col min="12541" max="12541" width="11.6640625" style="2" customWidth="1"/>
    <col min="12542" max="12542" width="14.6640625" style="2" customWidth="1"/>
    <col min="12543" max="12544" width="8.33203125" style="2"/>
    <col min="12545" max="12545" width="13.6640625" style="2" customWidth="1"/>
    <col min="12546" max="12786" width="8.33203125" style="2"/>
    <col min="12787" max="12787" width="49.6640625" style="2" customWidth="1"/>
    <col min="12788" max="12788" width="15.109375" style="2" customWidth="1"/>
    <col min="12789" max="12789" width="13.88671875" style="2" customWidth="1"/>
    <col min="12790" max="12790" width="11.6640625" style="2" customWidth="1"/>
    <col min="12791" max="12791" width="15.109375" style="2" customWidth="1"/>
    <col min="12792" max="12792" width="13.6640625" style="2" customWidth="1"/>
    <col min="12793" max="12793" width="15.109375" style="2" customWidth="1"/>
    <col min="12794" max="12794" width="16.5546875" style="2" customWidth="1"/>
    <col min="12795" max="12795" width="11.6640625" style="2" customWidth="1"/>
    <col min="12796" max="12796" width="15.109375" style="2" customWidth="1"/>
    <col min="12797" max="12797" width="11.6640625" style="2" customWidth="1"/>
    <col min="12798" max="12798" width="14.6640625" style="2" customWidth="1"/>
    <col min="12799" max="12800" width="8.33203125" style="2"/>
    <col min="12801" max="12801" width="13.6640625" style="2" customWidth="1"/>
    <col min="12802" max="13042" width="8.33203125" style="2"/>
    <col min="13043" max="13043" width="49.6640625" style="2" customWidth="1"/>
    <col min="13044" max="13044" width="15.109375" style="2" customWidth="1"/>
    <col min="13045" max="13045" width="13.88671875" style="2" customWidth="1"/>
    <col min="13046" max="13046" width="11.6640625" style="2" customWidth="1"/>
    <col min="13047" max="13047" width="15.109375" style="2" customWidth="1"/>
    <col min="13048" max="13048" width="13.6640625" style="2" customWidth="1"/>
    <col min="13049" max="13049" width="15.109375" style="2" customWidth="1"/>
    <col min="13050" max="13050" width="16.5546875" style="2" customWidth="1"/>
    <col min="13051" max="13051" width="11.6640625" style="2" customWidth="1"/>
    <col min="13052" max="13052" width="15.109375" style="2" customWidth="1"/>
    <col min="13053" max="13053" width="11.6640625" style="2" customWidth="1"/>
    <col min="13054" max="13054" width="14.6640625" style="2" customWidth="1"/>
    <col min="13055" max="13056" width="8.33203125" style="2"/>
    <col min="13057" max="13057" width="13.6640625" style="2" customWidth="1"/>
    <col min="13058" max="13298" width="8.33203125" style="2"/>
    <col min="13299" max="13299" width="49.6640625" style="2" customWidth="1"/>
    <col min="13300" max="13300" width="15.109375" style="2" customWidth="1"/>
    <col min="13301" max="13301" width="13.88671875" style="2" customWidth="1"/>
    <col min="13302" max="13302" width="11.6640625" style="2" customWidth="1"/>
    <col min="13303" max="13303" width="15.109375" style="2" customWidth="1"/>
    <col min="13304" max="13304" width="13.6640625" style="2" customWidth="1"/>
    <col min="13305" max="13305" width="15.109375" style="2" customWidth="1"/>
    <col min="13306" max="13306" width="16.5546875" style="2" customWidth="1"/>
    <col min="13307" max="13307" width="11.6640625" style="2" customWidth="1"/>
    <col min="13308" max="13308" width="15.109375" style="2" customWidth="1"/>
    <col min="13309" max="13309" width="11.6640625" style="2" customWidth="1"/>
    <col min="13310" max="13310" width="14.6640625" style="2" customWidth="1"/>
    <col min="13311" max="13312" width="8.33203125" style="2"/>
    <col min="13313" max="13313" width="13.6640625" style="2" customWidth="1"/>
    <col min="13314" max="13554" width="8.33203125" style="2"/>
    <col min="13555" max="13555" width="49.6640625" style="2" customWidth="1"/>
    <col min="13556" max="13556" width="15.109375" style="2" customWidth="1"/>
    <col min="13557" max="13557" width="13.88671875" style="2" customWidth="1"/>
    <col min="13558" max="13558" width="11.6640625" style="2" customWidth="1"/>
    <col min="13559" max="13559" width="15.109375" style="2" customWidth="1"/>
    <col min="13560" max="13560" width="13.6640625" style="2" customWidth="1"/>
    <col min="13561" max="13561" width="15.109375" style="2" customWidth="1"/>
    <col min="13562" max="13562" width="16.5546875" style="2" customWidth="1"/>
    <col min="13563" max="13563" width="11.6640625" style="2" customWidth="1"/>
    <col min="13564" max="13564" width="15.109375" style="2" customWidth="1"/>
    <col min="13565" max="13565" width="11.6640625" style="2" customWidth="1"/>
    <col min="13566" max="13566" width="14.6640625" style="2" customWidth="1"/>
    <col min="13567" max="13568" width="8.33203125" style="2"/>
    <col min="13569" max="13569" width="13.6640625" style="2" customWidth="1"/>
    <col min="13570" max="13810" width="8.33203125" style="2"/>
    <col min="13811" max="13811" width="49.6640625" style="2" customWidth="1"/>
    <col min="13812" max="13812" width="15.109375" style="2" customWidth="1"/>
    <col min="13813" max="13813" width="13.88671875" style="2" customWidth="1"/>
    <col min="13814" max="13814" width="11.6640625" style="2" customWidth="1"/>
    <col min="13815" max="13815" width="15.109375" style="2" customWidth="1"/>
    <col min="13816" max="13816" width="13.6640625" style="2" customWidth="1"/>
    <col min="13817" max="13817" width="15.109375" style="2" customWidth="1"/>
    <col min="13818" max="13818" width="16.5546875" style="2" customWidth="1"/>
    <col min="13819" max="13819" width="11.6640625" style="2" customWidth="1"/>
    <col min="13820" max="13820" width="15.109375" style="2" customWidth="1"/>
    <col min="13821" max="13821" width="11.6640625" style="2" customWidth="1"/>
    <col min="13822" max="13822" width="14.6640625" style="2" customWidth="1"/>
    <col min="13823" max="13824" width="8.33203125" style="2"/>
    <col min="13825" max="13825" width="13.6640625" style="2" customWidth="1"/>
    <col min="13826" max="14066" width="8.33203125" style="2"/>
    <col min="14067" max="14067" width="49.6640625" style="2" customWidth="1"/>
    <col min="14068" max="14068" width="15.109375" style="2" customWidth="1"/>
    <col min="14069" max="14069" width="13.88671875" style="2" customWidth="1"/>
    <col min="14070" max="14070" width="11.6640625" style="2" customWidth="1"/>
    <col min="14071" max="14071" width="15.109375" style="2" customWidth="1"/>
    <col min="14072" max="14072" width="13.6640625" style="2" customWidth="1"/>
    <col min="14073" max="14073" width="15.109375" style="2" customWidth="1"/>
    <col min="14074" max="14074" width="16.5546875" style="2" customWidth="1"/>
    <col min="14075" max="14075" width="11.6640625" style="2" customWidth="1"/>
    <col min="14076" max="14076" width="15.109375" style="2" customWidth="1"/>
    <col min="14077" max="14077" width="11.6640625" style="2" customWidth="1"/>
    <col min="14078" max="14078" width="14.6640625" style="2" customWidth="1"/>
    <col min="14079" max="14080" width="8.33203125" style="2"/>
    <col min="14081" max="14081" width="13.6640625" style="2" customWidth="1"/>
    <col min="14082" max="14322" width="8.33203125" style="2"/>
    <col min="14323" max="14323" width="49.6640625" style="2" customWidth="1"/>
    <col min="14324" max="14324" width="15.109375" style="2" customWidth="1"/>
    <col min="14325" max="14325" width="13.88671875" style="2" customWidth="1"/>
    <col min="14326" max="14326" width="11.6640625" style="2" customWidth="1"/>
    <col min="14327" max="14327" width="15.109375" style="2" customWidth="1"/>
    <col min="14328" max="14328" width="13.6640625" style="2" customWidth="1"/>
    <col min="14329" max="14329" width="15.109375" style="2" customWidth="1"/>
    <col min="14330" max="14330" width="16.5546875" style="2" customWidth="1"/>
    <col min="14331" max="14331" width="11.6640625" style="2" customWidth="1"/>
    <col min="14332" max="14332" width="15.109375" style="2" customWidth="1"/>
    <col min="14333" max="14333" width="11.6640625" style="2" customWidth="1"/>
    <col min="14334" max="14334" width="14.6640625" style="2" customWidth="1"/>
    <col min="14335" max="14336" width="8.33203125" style="2"/>
    <col min="14337" max="14337" width="13.6640625" style="2" customWidth="1"/>
    <col min="14338" max="14578" width="8.33203125" style="2"/>
    <col min="14579" max="14579" width="49.6640625" style="2" customWidth="1"/>
    <col min="14580" max="14580" width="15.109375" style="2" customWidth="1"/>
    <col min="14581" max="14581" width="13.88671875" style="2" customWidth="1"/>
    <col min="14582" max="14582" width="11.6640625" style="2" customWidth="1"/>
    <col min="14583" max="14583" width="15.109375" style="2" customWidth="1"/>
    <col min="14584" max="14584" width="13.6640625" style="2" customWidth="1"/>
    <col min="14585" max="14585" width="15.109375" style="2" customWidth="1"/>
    <col min="14586" max="14586" width="16.5546875" style="2" customWidth="1"/>
    <col min="14587" max="14587" width="11.6640625" style="2" customWidth="1"/>
    <col min="14588" max="14588" width="15.109375" style="2" customWidth="1"/>
    <col min="14589" max="14589" width="11.6640625" style="2" customWidth="1"/>
    <col min="14590" max="14590" width="14.6640625" style="2" customWidth="1"/>
    <col min="14591" max="14592" width="8.33203125" style="2"/>
    <col min="14593" max="14593" width="13.6640625" style="2" customWidth="1"/>
    <col min="14594" max="14834" width="8.33203125" style="2"/>
    <col min="14835" max="14835" width="49.6640625" style="2" customWidth="1"/>
    <col min="14836" max="14836" width="15.109375" style="2" customWidth="1"/>
    <col min="14837" max="14837" width="13.88671875" style="2" customWidth="1"/>
    <col min="14838" max="14838" width="11.6640625" style="2" customWidth="1"/>
    <col min="14839" max="14839" width="15.109375" style="2" customWidth="1"/>
    <col min="14840" max="14840" width="13.6640625" style="2" customWidth="1"/>
    <col min="14841" max="14841" width="15.109375" style="2" customWidth="1"/>
    <col min="14842" max="14842" width="16.5546875" style="2" customWidth="1"/>
    <col min="14843" max="14843" width="11.6640625" style="2" customWidth="1"/>
    <col min="14844" max="14844" width="15.109375" style="2" customWidth="1"/>
    <col min="14845" max="14845" width="11.6640625" style="2" customWidth="1"/>
    <col min="14846" max="14846" width="14.6640625" style="2" customWidth="1"/>
    <col min="14847" max="14848" width="8.33203125" style="2"/>
    <col min="14849" max="14849" width="13.6640625" style="2" customWidth="1"/>
    <col min="14850" max="15090" width="8.33203125" style="2"/>
    <col min="15091" max="15091" width="49.6640625" style="2" customWidth="1"/>
    <col min="15092" max="15092" width="15.109375" style="2" customWidth="1"/>
    <col min="15093" max="15093" width="13.88671875" style="2" customWidth="1"/>
    <col min="15094" max="15094" width="11.6640625" style="2" customWidth="1"/>
    <col min="15095" max="15095" width="15.109375" style="2" customWidth="1"/>
    <col min="15096" max="15096" width="13.6640625" style="2" customWidth="1"/>
    <col min="15097" max="15097" width="15.109375" style="2" customWidth="1"/>
    <col min="15098" max="15098" width="16.5546875" style="2" customWidth="1"/>
    <col min="15099" max="15099" width="11.6640625" style="2" customWidth="1"/>
    <col min="15100" max="15100" width="15.109375" style="2" customWidth="1"/>
    <col min="15101" max="15101" width="11.6640625" style="2" customWidth="1"/>
    <col min="15102" max="15102" width="14.6640625" style="2" customWidth="1"/>
    <col min="15103" max="15104" width="8.33203125" style="2"/>
    <col min="15105" max="15105" width="13.6640625" style="2" customWidth="1"/>
    <col min="15106" max="15346" width="8.33203125" style="2"/>
    <col min="15347" max="15347" width="49.6640625" style="2" customWidth="1"/>
    <col min="15348" max="15348" width="15.109375" style="2" customWidth="1"/>
    <col min="15349" max="15349" width="13.88671875" style="2" customWidth="1"/>
    <col min="15350" max="15350" width="11.6640625" style="2" customWidth="1"/>
    <col min="15351" max="15351" width="15.109375" style="2" customWidth="1"/>
    <col min="15352" max="15352" width="13.6640625" style="2" customWidth="1"/>
    <col min="15353" max="15353" width="15.109375" style="2" customWidth="1"/>
    <col min="15354" max="15354" width="16.5546875" style="2" customWidth="1"/>
    <col min="15355" max="15355" width="11.6640625" style="2" customWidth="1"/>
    <col min="15356" max="15356" width="15.109375" style="2" customWidth="1"/>
    <col min="15357" max="15357" width="11.6640625" style="2" customWidth="1"/>
    <col min="15358" max="15358" width="14.6640625" style="2" customWidth="1"/>
    <col min="15359" max="15360" width="8.33203125" style="2"/>
    <col min="15361" max="15361" width="13.6640625" style="2" customWidth="1"/>
    <col min="15362" max="15602" width="8.33203125" style="2"/>
    <col min="15603" max="15603" width="49.6640625" style="2" customWidth="1"/>
    <col min="15604" max="15604" width="15.109375" style="2" customWidth="1"/>
    <col min="15605" max="15605" width="13.88671875" style="2" customWidth="1"/>
    <col min="15606" max="15606" width="11.6640625" style="2" customWidth="1"/>
    <col min="15607" max="15607" width="15.109375" style="2" customWidth="1"/>
    <col min="15608" max="15608" width="13.6640625" style="2" customWidth="1"/>
    <col min="15609" max="15609" width="15.109375" style="2" customWidth="1"/>
    <col min="15610" max="15610" width="16.5546875" style="2" customWidth="1"/>
    <col min="15611" max="15611" width="11.6640625" style="2" customWidth="1"/>
    <col min="15612" max="15612" width="15.109375" style="2" customWidth="1"/>
    <col min="15613" max="15613" width="11.6640625" style="2" customWidth="1"/>
    <col min="15614" max="15614" width="14.6640625" style="2" customWidth="1"/>
    <col min="15615" max="15616" width="8.33203125" style="2"/>
    <col min="15617" max="15617" width="13.6640625" style="2" customWidth="1"/>
    <col min="15618" max="15858" width="8.33203125" style="2"/>
    <col min="15859" max="15859" width="49.6640625" style="2" customWidth="1"/>
    <col min="15860" max="15860" width="15.109375" style="2" customWidth="1"/>
    <col min="15861" max="15861" width="13.88671875" style="2" customWidth="1"/>
    <col min="15862" max="15862" width="11.6640625" style="2" customWidth="1"/>
    <col min="15863" max="15863" width="15.109375" style="2" customWidth="1"/>
    <col min="15864" max="15864" width="13.6640625" style="2" customWidth="1"/>
    <col min="15865" max="15865" width="15.109375" style="2" customWidth="1"/>
    <col min="15866" max="15866" width="16.5546875" style="2" customWidth="1"/>
    <col min="15867" max="15867" width="11.6640625" style="2" customWidth="1"/>
    <col min="15868" max="15868" width="15.109375" style="2" customWidth="1"/>
    <col min="15869" max="15869" width="11.6640625" style="2" customWidth="1"/>
    <col min="15870" max="15870" width="14.6640625" style="2" customWidth="1"/>
    <col min="15871" max="15872" width="8.33203125" style="2"/>
    <col min="15873" max="15873" width="13.6640625" style="2" customWidth="1"/>
    <col min="15874" max="16114" width="8.33203125" style="2"/>
    <col min="16115" max="16115" width="49.6640625" style="2" customWidth="1"/>
    <col min="16116" max="16116" width="15.109375" style="2" customWidth="1"/>
    <col min="16117" max="16117" width="13.88671875" style="2" customWidth="1"/>
    <col min="16118" max="16118" width="11.6640625" style="2" customWidth="1"/>
    <col min="16119" max="16119" width="15.109375" style="2" customWidth="1"/>
    <col min="16120" max="16120" width="13.6640625" style="2" customWidth="1"/>
    <col min="16121" max="16121" width="15.109375" style="2" customWidth="1"/>
    <col min="16122" max="16122" width="16.5546875" style="2" customWidth="1"/>
    <col min="16123" max="16123" width="11.6640625" style="2" customWidth="1"/>
    <col min="16124" max="16124" width="15.109375" style="2" customWidth="1"/>
    <col min="16125" max="16125" width="11.6640625" style="2" customWidth="1"/>
    <col min="16126" max="16126" width="14.6640625" style="2" customWidth="1"/>
    <col min="16127" max="16128" width="8.33203125" style="2"/>
    <col min="16129" max="16129" width="13.6640625" style="2" customWidth="1"/>
    <col min="16130" max="16384" width="8.33203125" style="2"/>
  </cols>
  <sheetData>
    <row r="1" spans="2:16" ht="19.45" customHeight="1">
      <c r="B1" s="2" t="s">
        <v>30</v>
      </c>
      <c r="E1" s="143">
        <v>160000</v>
      </c>
      <c r="G1" s="90">
        <v>163000</v>
      </c>
      <c r="I1" s="90">
        <v>165000</v>
      </c>
      <c r="K1" s="90">
        <v>166000</v>
      </c>
      <c r="M1" s="143">
        <v>167000</v>
      </c>
      <c r="O1" s="143">
        <v>168000</v>
      </c>
    </row>
    <row r="2" spans="2:16" ht="19.05" customHeight="1">
      <c r="B2" s="2" t="s">
        <v>124</v>
      </c>
      <c r="E2" s="143">
        <v>0</v>
      </c>
      <c r="G2" s="90">
        <f>'Sales-ASP est'!F4</f>
        <v>6000</v>
      </c>
      <c r="I2" s="90">
        <f>'Sales-ASP est'!L4</f>
        <v>10500</v>
      </c>
      <c r="K2" s="90">
        <f>'Sales-ASP est'!R4</f>
        <v>14000</v>
      </c>
      <c r="M2" s="143">
        <f>'Sales-ASP est'!X4</f>
        <v>16500</v>
      </c>
      <c r="O2" s="143">
        <f>'Sales-ASP est'!AD4</f>
        <v>22000</v>
      </c>
    </row>
    <row r="3" spans="2:16" ht="19.05" customHeight="1">
      <c r="B3" s="137" t="s">
        <v>125</v>
      </c>
      <c r="C3" s="138">
        <v>0.1</v>
      </c>
      <c r="D3" s="137" t="s">
        <v>96</v>
      </c>
      <c r="E3" s="145">
        <v>0</v>
      </c>
      <c r="F3" s="146"/>
      <c r="G3" s="139">
        <f>'Sales-ASP est'!F14</f>
        <v>0</v>
      </c>
      <c r="H3" s="137"/>
      <c r="I3" s="139">
        <f>'Sales-ASP est'!L14</f>
        <v>1050</v>
      </c>
      <c r="J3" s="137"/>
      <c r="K3" s="139">
        <f>'Sales-ASP est'!R14</f>
        <v>1400</v>
      </c>
      <c r="L3" s="137"/>
      <c r="M3" s="145">
        <f>'Sales-ASP est'!X14</f>
        <v>1650</v>
      </c>
      <c r="N3" s="146"/>
      <c r="O3" s="145">
        <f>'Sales-ASP est'!AD14</f>
        <v>2200</v>
      </c>
    </row>
    <row r="4" spans="2:16" ht="19.05" customHeight="1">
      <c r="B4" s="137" t="s">
        <v>126</v>
      </c>
      <c r="C4" s="137"/>
      <c r="D4" s="137"/>
      <c r="E4" s="145">
        <f>SUM(E2:E3)</f>
        <v>0</v>
      </c>
      <c r="F4" s="146"/>
      <c r="G4" s="139">
        <f>SUM(G2:G3)</f>
        <v>6000</v>
      </c>
      <c r="H4" s="137"/>
      <c r="I4" s="139">
        <f>SUM(I2:I3)</f>
        <v>11550</v>
      </c>
      <c r="J4" s="137"/>
      <c r="K4" s="139">
        <f>SUM(K2:K3)</f>
        <v>15400</v>
      </c>
      <c r="L4" s="137"/>
      <c r="M4" s="145">
        <f>SUM(M2:M3)</f>
        <v>18150</v>
      </c>
      <c r="N4" s="146"/>
      <c r="O4" s="145">
        <f>SUM(O2:O3)</f>
        <v>24200</v>
      </c>
    </row>
    <row r="5" spans="2:16" ht="19.45" customHeight="1">
      <c r="B5" s="2" t="s">
        <v>155</v>
      </c>
      <c r="E5" s="143">
        <v>0</v>
      </c>
      <c r="G5" s="90">
        <f>'Sales-ASP est'!I11</f>
        <v>96.75</v>
      </c>
      <c r="I5" s="90">
        <f>'Sales-ASP est'!O11</f>
        <v>110.43450000000001</v>
      </c>
      <c r="K5" s="90">
        <f>'Sales-ASP est'!U11</f>
        <v>120.4297875</v>
      </c>
      <c r="M5" s="143">
        <f>'Sales-ASP est'!AA11</f>
        <v>124.8774813</v>
      </c>
      <c r="O5" s="143">
        <f>'Sales-ASP est'!AG11</f>
        <v>126.65458391849999</v>
      </c>
    </row>
    <row r="6" spans="2:16" ht="19.45" customHeight="1">
      <c r="B6" s="2" t="s">
        <v>127</v>
      </c>
      <c r="E6" s="147">
        <f>E2/E1</f>
        <v>0</v>
      </c>
      <c r="G6" s="80">
        <f>G2/G1</f>
        <v>3.6809815950920248E-2</v>
      </c>
      <c r="I6" s="80">
        <f>I2/I1</f>
        <v>6.363636363636363E-2</v>
      </c>
      <c r="K6" s="80">
        <f>K2/K1</f>
        <v>8.4337349397590355E-2</v>
      </c>
      <c r="M6" s="147">
        <f>M2/M1</f>
        <v>9.880239520958084E-2</v>
      </c>
      <c r="O6" s="147">
        <f>O2/O1</f>
        <v>0.13095238095238096</v>
      </c>
    </row>
    <row r="7" spans="2:16" ht="19.05" customHeight="1">
      <c r="B7" s="2" t="s">
        <v>156</v>
      </c>
      <c r="E7" s="268">
        <v>0</v>
      </c>
      <c r="G7" s="269">
        <v>0</v>
      </c>
      <c r="I7" s="269">
        <f>'Sales-ASP est'!O21</f>
        <v>124.34399999999999</v>
      </c>
      <c r="K7" s="90">
        <f>'Sales-ASP est'!U21</f>
        <v>135.54783</v>
      </c>
      <c r="M7" s="143">
        <f>'Sales-ASP est'!AA21</f>
        <v>140.693355</v>
      </c>
      <c r="O7" s="143">
        <f>'Sales-ASP est'!AG21</f>
        <v>142.93668628799998</v>
      </c>
    </row>
    <row r="8" spans="2:16" ht="19.05" customHeight="1"/>
    <row r="9" spans="2:16" ht="19.45" customHeight="1">
      <c r="B9" s="1" t="s">
        <v>0</v>
      </c>
    </row>
    <row r="10" spans="2:16" ht="10.95" customHeight="1" thickBot="1">
      <c r="J10" s="3"/>
      <c r="L10" s="3"/>
      <c r="N10" s="148"/>
      <c r="P10" s="148"/>
    </row>
    <row r="11" spans="2:16" ht="19.45" customHeight="1">
      <c r="B11" s="4" t="s">
        <v>52</v>
      </c>
      <c r="C11" s="5"/>
      <c r="D11" s="96"/>
      <c r="E11" s="150" t="s">
        <v>1</v>
      </c>
      <c r="F11" s="220"/>
      <c r="G11" s="8" t="s">
        <v>1</v>
      </c>
      <c r="H11" s="9" t="s">
        <v>2</v>
      </c>
      <c r="I11" s="8" t="s">
        <v>1</v>
      </c>
      <c r="J11" s="9" t="s">
        <v>2</v>
      </c>
      <c r="K11" s="8" t="s">
        <v>1</v>
      </c>
      <c r="L11" s="9" t="s">
        <v>2</v>
      </c>
      <c r="M11" s="149" t="s">
        <v>1</v>
      </c>
      <c r="N11" s="150" t="s">
        <v>2</v>
      </c>
      <c r="O11" s="149" t="s">
        <v>1</v>
      </c>
      <c r="P11" s="151" t="s">
        <v>2</v>
      </c>
    </row>
    <row r="12" spans="2:16" ht="19.899999999999999" customHeight="1" thickBot="1">
      <c r="B12" s="11"/>
      <c r="C12" s="12" t="s">
        <v>100</v>
      </c>
      <c r="D12" s="97" t="s">
        <v>101</v>
      </c>
      <c r="E12" s="221">
        <v>2025</v>
      </c>
      <c r="F12" s="222"/>
      <c r="G12" s="15">
        <v>2026</v>
      </c>
      <c r="H12" s="16" t="s">
        <v>3</v>
      </c>
      <c r="I12" s="15">
        <v>2027</v>
      </c>
      <c r="J12" s="16" t="s">
        <v>3</v>
      </c>
      <c r="K12" s="15">
        <v>2028</v>
      </c>
      <c r="L12" s="16" t="s">
        <v>3</v>
      </c>
      <c r="M12" s="152">
        <v>2029</v>
      </c>
      <c r="N12" s="153" t="s">
        <v>3</v>
      </c>
      <c r="O12" s="152">
        <v>2030</v>
      </c>
      <c r="P12" s="154" t="s">
        <v>3</v>
      </c>
    </row>
    <row r="13" spans="2:16" ht="19.45" customHeight="1" thickTop="1">
      <c r="B13" s="18" t="s">
        <v>4</v>
      </c>
      <c r="C13" s="19"/>
      <c r="D13" s="98"/>
      <c r="E13" s="223">
        <f>E2*E5/1000</f>
        <v>0</v>
      </c>
      <c r="F13" s="224"/>
      <c r="G13" s="20">
        <f>G4*G5/1000</f>
        <v>580.5</v>
      </c>
      <c r="H13" s="21" t="s">
        <v>58</v>
      </c>
      <c r="I13" s="20">
        <f>(I2*I5/1000)+(I3*I7/1000)</f>
        <v>1290.12345</v>
      </c>
      <c r="J13" s="21">
        <f>I13/G13-1</f>
        <v>1.2224348837209305</v>
      </c>
      <c r="K13" s="20">
        <f>(K2*K5/1000)+(K3*K7/1000)</f>
        <v>1875.783987</v>
      </c>
      <c r="L13" s="21">
        <f>K13/I13-1</f>
        <v>0.45395697365240517</v>
      </c>
      <c r="M13" s="20">
        <f>(M2*M5/1000)+(M3*M7/1000)</f>
        <v>2292.6224772</v>
      </c>
      <c r="N13" s="156">
        <f>M13/K13-1</f>
        <v>0.22222094499626421</v>
      </c>
      <c r="O13" s="20">
        <f>(O2*O5/1000)+(O3*O7/1000)</f>
        <v>3100.8615560405997</v>
      </c>
      <c r="P13" s="157">
        <f>O13/M13-1</f>
        <v>0.35253910614525119</v>
      </c>
    </row>
    <row r="14" spans="2:16" ht="19.45" hidden="1" customHeight="1">
      <c r="B14" s="23"/>
      <c r="C14" s="24"/>
      <c r="D14" s="98"/>
      <c r="E14" s="225"/>
      <c r="F14" s="226"/>
      <c r="G14" s="26"/>
      <c r="H14" s="25">
        <v>0</v>
      </c>
      <c r="I14" s="26"/>
      <c r="J14" s="25">
        <v>0</v>
      </c>
      <c r="K14" s="26"/>
      <c r="L14" s="25">
        <v>0</v>
      </c>
      <c r="M14" s="158"/>
      <c r="N14" s="159">
        <v>0</v>
      </c>
      <c r="O14" s="158"/>
      <c r="P14" s="160">
        <v>0</v>
      </c>
    </row>
    <row r="15" spans="2:16" s="31" customFormat="1" ht="19.05" customHeight="1">
      <c r="B15" s="18"/>
      <c r="C15" s="27"/>
      <c r="E15" s="227"/>
      <c r="F15" s="228"/>
      <c r="G15" s="29"/>
      <c r="H15" s="28"/>
      <c r="I15" s="29"/>
      <c r="J15" s="28"/>
      <c r="K15" s="29"/>
      <c r="L15" s="28"/>
      <c r="M15" s="161"/>
      <c r="N15" s="162"/>
      <c r="O15" s="161"/>
      <c r="P15" s="163"/>
    </row>
    <row r="16" spans="2:16" ht="19.45" customHeight="1">
      <c r="B16" s="32" t="s">
        <v>5</v>
      </c>
      <c r="C16" s="33"/>
      <c r="D16" s="99"/>
      <c r="E16" s="229"/>
      <c r="F16" s="224"/>
      <c r="G16" s="22">
        <f>ROUND(G13*60%,0)</f>
        <v>348</v>
      </c>
      <c r="H16" s="21" t="s">
        <v>58</v>
      </c>
      <c r="I16" s="22">
        <f>ROUND(I13*60%,0)</f>
        <v>774</v>
      </c>
      <c r="J16" s="21">
        <f>I16/G16-1</f>
        <v>1.2241379310344827</v>
      </c>
      <c r="K16" s="22">
        <f>ROUND(K13*60%,0)</f>
        <v>1125</v>
      </c>
      <c r="L16" s="21">
        <f>K16/I16-1</f>
        <v>0.45348837209302317</v>
      </c>
      <c r="M16" s="164">
        <f>ROUND(M13*60%,0)</f>
        <v>1376</v>
      </c>
      <c r="N16" s="156">
        <f>M16/K16-1</f>
        <v>0.22311111111111104</v>
      </c>
      <c r="O16" s="164">
        <f>ROUND(O13*60%,0)</f>
        <v>1861</v>
      </c>
      <c r="P16" s="157">
        <f>O16/M16-1</f>
        <v>0.35247093023255816</v>
      </c>
    </row>
    <row r="17" spans="2:16" ht="19.45" hidden="1" customHeight="1">
      <c r="B17" s="23"/>
      <c r="C17" s="34" t="s">
        <v>6</v>
      </c>
      <c r="D17" s="98"/>
      <c r="E17" s="225"/>
      <c r="F17" s="226"/>
      <c r="G17" s="26"/>
      <c r="H17" s="25"/>
      <c r="I17" s="26"/>
      <c r="J17" s="25"/>
      <c r="K17" s="26"/>
      <c r="L17" s="25"/>
      <c r="M17" s="158"/>
      <c r="N17" s="159"/>
      <c r="O17" s="158"/>
      <c r="P17" s="160"/>
    </row>
    <row r="18" spans="2:16" ht="19.45" hidden="1" customHeight="1">
      <c r="B18" s="35"/>
      <c r="C18" s="24" t="s">
        <v>7</v>
      </c>
      <c r="D18" s="100"/>
      <c r="E18" s="230"/>
      <c r="F18" s="231"/>
      <c r="G18" s="37"/>
      <c r="H18" s="36"/>
      <c r="I18" s="37"/>
      <c r="J18" s="36"/>
      <c r="K18" s="37"/>
      <c r="L18" s="36"/>
      <c r="M18" s="165"/>
      <c r="N18" s="166"/>
      <c r="O18" s="165"/>
      <c r="P18" s="167"/>
    </row>
    <row r="19" spans="2:16" ht="19.45" customHeight="1">
      <c r="B19" s="38"/>
      <c r="C19" s="39"/>
      <c r="E19" s="232"/>
      <c r="F19" s="233"/>
      <c r="G19" s="41"/>
      <c r="H19" s="40"/>
      <c r="I19" s="41"/>
      <c r="J19" s="40"/>
      <c r="K19" s="41"/>
      <c r="L19" s="40"/>
      <c r="M19" s="168"/>
      <c r="N19" s="169"/>
      <c r="O19" s="168"/>
      <c r="P19" s="170"/>
    </row>
    <row r="20" spans="2:16" s="31" customFormat="1" ht="19.45" customHeight="1">
      <c r="B20" s="42" t="s">
        <v>8</v>
      </c>
      <c r="C20" s="43"/>
      <c r="D20" s="101"/>
      <c r="E20" s="234">
        <f>E13-E16</f>
        <v>0</v>
      </c>
      <c r="F20" s="182"/>
      <c r="G20" s="44">
        <f>G13-G16</f>
        <v>232.5</v>
      </c>
      <c r="H20" s="45" t="s">
        <v>58</v>
      </c>
      <c r="I20" s="44">
        <f>I13-I16</f>
        <v>516.12345000000005</v>
      </c>
      <c r="J20" s="45">
        <f>I20/G20-1</f>
        <v>1.2198858064516132</v>
      </c>
      <c r="K20" s="44">
        <f>K13-K16</f>
        <v>750.78398700000002</v>
      </c>
      <c r="L20" s="45">
        <f>K20/I20-1</f>
        <v>0.45465970786640275</v>
      </c>
      <c r="M20" s="171">
        <f>M13-M16</f>
        <v>916.62247720000005</v>
      </c>
      <c r="N20" s="172">
        <f>M20/K20-1</f>
        <v>0.22088709012383356</v>
      </c>
      <c r="O20" s="173">
        <f>O13-O16</f>
        <v>1239.8615560405997</v>
      </c>
      <c r="P20" s="174">
        <f>O20/M20-1</f>
        <v>0.35264144932163966</v>
      </c>
    </row>
    <row r="21" spans="2:16" s="31" customFormat="1" ht="19.45" customHeight="1">
      <c r="B21" s="46" t="s">
        <v>9</v>
      </c>
      <c r="C21" s="47"/>
      <c r="D21" s="81"/>
      <c r="E21" s="235"/>
      <c r="F21" s="236" t="s">
        <v>10</v>
      </c>
      <c r="G21" s="48">
        <f>G20/G13</f>
        <v>0.4005167958656331</v>
      </c>
      <c r="H21" s="49" t="s">
        <v>10</v>
      </c>
      <c r="I21" s="48">
        <f>I20/I13</f>
        <v>0.40005741311035004</v>
      </c>
      <c r="J21" s="49" t="s">
        <v>10</v>
      </c>
      <c r="K21" s="48">
        <f>K20/K13</f>
        <v>0.4002507709860304</v>
      </c>
      <c r="L21" s="49" t="s">
        <v>10</v>
      </c>
      <c r="M21" s="175">
        <f>M20/M13</f>
        <v>0.39981396253232199</v>
      </c>
      <c r="N21" s="176" t="s">
        <v>10</v>
      </c>
      <c r="O21" s="177">
        <f>O20/O13</f>
        <v>0.39984421543274024</v>
      </c>
      <c r="P21" s="178" t="s">
        <v>10</v>
      </c>
    </row>
    <row r="22" spans="2:16" s="31" customFormat="1" ht="19.45" customHeight="1">
      <c r="B22" s="50" t="s">
        <v>11</v>
      </c>
      <c r="C22" s="27"/>
      <c r="E22" s="237">
        <f>+E57</f>
        <v>10</v>
      </c>
      <c r="F22" s="238"/>
      <c r="G22" s="52">
        <f>+G57</f>
        <v>320.29909999999995</v>
      </c>
      <c r="H22" s="51">
        <f>G22/E22-1</f>
        <v>31.029909999999994</v>
      </c>
      <c r="I22" s="52">
        <f>+I57</f>
        <v>482.33602359999992</v>
      </c>
      <c r="J22" s="51">
        <f>I22/G22-1</f>
        <v>0.50589253482135921</v>
      </c>
      <c r="K22" s="52">
        <f>+K57</f>
        <v>558.42112158499992</v>
      </c>
      <c r="L22" s="51">
        <f>K22/I22-1</f>
        <v>0.15774293078324408</v>
      </c>
      <c r="M22" s="179">
        <f>+M57</f>
        <v>583.06735937251995</v>
      </c>
      <c r="N22" s="180">
        <f>M22/K22-1</f>
        <v>4.4135575885033029E-2</v>
      </c>
      <c r="O22" s="179">
        <f>+O57</f>
        <v>610.4696147919974</v>
      </c>
      <c r="P22" s="181">
        <f>O22/M22-1</f>
        <v>4.6996723412826569E-2</v>
      </c>
    </row>
    <row r="23" spans="2:16" s="31" customFormat="1" ht="19.45" customHeight="1">
      <c r="B23" s="42" t="s">
        <v>104</v>
      </c>
      <c r="C23" s="43"/>
      <c r="D23" s="101"/>
      <c r="E23" s="234">
        <f>E20-E22</f>
        <v>-10</v>
      </c>
      <c r="F23" s="182"/>
      <c r="G23" s="53">
        <f>G20-G22</f>
        <v>-87.799099999999953</v>
      </c>
      <c r="H23" s="45">
        <f>(G23-(E23))/ABS(E23)</f>
        <v>-7.7799099999999957</v>
      </c>
      <c r="I23" s="53">
        <f>I20-I22</f>
        <v>33.787426400000129</v>
      </c>
      <c r="J23" s="45">
        <f>(I23-G23)/G23</f>
        <v>-1.3848265688372676</v>
      </c>
      <c r="K23" s="53">
        <f>K20-K22</f>
        <v>192.3628654150001</v>
      </c>
      <c r="L23" s="45">
        <f>(K23-I23)/I23</f>
        <v>4.6933269535734565</v>
      </c>
      <c r="M23" s="173">
        <f>M20-M22</f>
        <v>333.5551178274801</v>
      </c>
      <c r="N23" s="172">
        <f>(M23-K23)/K23</f>
        <v>0.7339891309472566</v>
      </c>
      <c r="O23" s="173">
        <f>O20-O22</f>
        <v>629.39194124860228</v>
      </c>
      <c r="P23" s="182">
        <f>(O23-M23)/M23</f>
        <v>0.8869203547167086</v>
      </c>
    </row>
    <row r="24" spans="2:16" s="31" customFormat="1" ht="19.45" customHeight="1">
      <c r="B24" s="54" t="s">
        <v>9</v>
      </c>
      <c r="C24" s="47"/>
      <c r="D24" s="102"/>
      <c r="E24" s="239"/>
      <c r="F24" s="240"/>
      <c r="G24" s="55">
        <f>G23/G13</f>
        <v>-0.15124737295434962</v>
      </c>
      <c r="H24" s="56" t="s">
        <v>10</v>
      </c>
      <c r="I24" s="55">
        <f>I23/I13</f>
        <v>2.6189297156020322E-2</v>
      </c>
      <c r="J24" s="56" t="s">
        <v>10</v>
      </c>
      <c r="K24" s="55">
        <f>K23/K13</f>
        <v>0.10255064908761272</v>
      </c>
      <c r="L24" s="56" t="s">
        <v>10</v>
      </c>
      <c r="M24" s="183">
        <f>M23/M13</f>
        <v>0.14549064276594456</v>
      </c>
      <c r="N24" s="184" t="s">
        <v>10</v>
      </c>
      <c r="O24" s="185">
        <f>O23/O13</f>
        <v>0.20297324787768165</v>
      </c>
      <c r="P24" s="186" t="s">
        <v>10</v>
      </c>
    </row>
    <row r="25" spans="2:16" s="31" customFormat="1" ht="19.45" customHeight="1">
      <c r="B25" s="127" t="s">
        <v>105</v>
      </c>
      <c r="C25" s="128"/>
      <c r="D25" s="129"/>
      <c r="E25" s="241">
        <f>E23</f>
        <v>-10</v>
      </c>
      <c r="F25" s="189"/>
      <c r="G25" s="131">
        <f>G20-G69</f>
        <v>-90.121099999999956</v>
      </c>
      <c r="H25" s="130"/>
      <c r="I25" s="131">
        <f>I20-I69</f>
        <v>7.6895622500001082</v>
      </c>
      <c r="J25" s="130">
        <f>(I25-G25)/G25</f>
        <v>-1.0853247713354599</v>
      </c>
      <c r="K25" s="131">
        <f>K20-K69</f>
        <v>97.94259351900007</v>
      </c>
      <c r="L25" s="130">
        <f>(K25-I25)/I25</f>
        <v>11.737083117962754</v>
      </c>
      <c r="M25" s="187">
        <f>M20-M69</f>
        <v>238.09276048708011</v>
      </c>
      <c r="N25" s="188">
        <f>(M25-K25)/K25</f>
        <v>1.4309419623536113</v>
      </c>
      <c r="O25" s="187">
        <f>O20-O69</f>
        <v>534.54063346839928</v>
      </c>
      <c r="P25" s="189">
        <f>(O25-M25)/M25</f>
        <v>1.2450940229129968</v>
      </c>
    </row>
    <row r="26" spans="2:16" s="31" customFormat="1" ht="19.45" customHeight="1">
      <c r="B26" s="132" t="s">
        <v>9</v>
      </c>
      <c r="C26" s="133"/>
      <c r="D26" s="134"/>
      <c r="E26" s="242"/>
      <c r="F26" s="243"/>
      <c r="G26" s="136">
        <f>G25/G13</f>
        <v>-0.15524737295434962</v>
      </c>
      <c r="H26" s="135" t="s">
        <v>10</v>
      </c>
      <c r="I26" s="136">
        <f>I25/I13</f>
        <v>5.9603305792171341E-3</v>
      </c>
      <c r="J26" s="135" t="s">
        <v>10</v>
      </c>
      <c r="K26" s="136">
        <f>K25/K13</f>
        <v>5.2214217733910141E-2</v>
      </c>
      <c r="L26" s="135" t="s">
        <v>10</v>
      </c>
      <c r="M26" s="190">
        <f>M25/M13</f>
        <v>0.10385170818784996</v>
      </c>
      <c r="N26" s="191" t="s">
        <v>10</v>
      </c>
      <c r="O26" s="190">
        <f>O25/O13</f>
        <v>0.17238455306948264</v>
      </c>
      <c r="P26" s="192" t="s">
        <v>10</v>
      </c>
    </row>
    <row r="27" spans="2:16" ht="19.45" customHeight="1">
      <c r="B27" s="57" t="s">
        <v>12</v>
      </c>
      <c r="C27" s="58"/>
      <c r="D27" s="99"/>
      <c r="E27" s="229">
        <f>E23-50</f>
        <v>-60</v>
      </c>
      <c r="F27" s="224"/>
      <c r="G27" s="20">
        <f>G23-50</f>
        <v>-137.79909999999995</v>
      </c>
      <c r="H27" s="21">
        <f>G27/E27-1</f>
        <v>1.2966516666666661</v>
      </c>
      <c r="I27" s="20">
        <f>I23-50</f>
        <v>-16.212573599999871</v>
      </c>
      <c r="J27" s="21">
        <f>I27/G27-1</f>
        <v>-0.88234630269718828</v>
      </c>
      <c r="K27" s="20">
        <f>K23-50</f>
        <v>142.3628654150001</v>
      </c>
      <c r="L27" s="21">
        <f>K27/I27-1</f>
        <v>-9.7810158292821097</v>
      </c>
      <c r="M27" s="155">
        <f>M23-50</f>
        <v>283.5551178274801</v>
      </c>
      <c r="N27" s="156">
        <f>M27/K27-1</f>
        <v>0.9917772587738547</v>
      </c>
      <c r="O27" s="164">
        <f>O23-50</f>
        <v>579.39194124860228</v>
      </c>
      <c r="P27" s="157">
        <f>O27/M27-1</f>
        <v>1.0433132919191905</v>
      </c>
    </row>
    <row r="28" spans="2:16" ht="19.45" customHeight="1">
      <c r="B28" s="38" t="s">
        <v>9</v>
      </c>
      <c r="C28" s="59"/>
      <c r="D28" s="103"/>
      <c r="E28" s="244"/>
      <c r="F28" s="245"/>
      <c r="G28" s="60">
        <f>+G27/G13</f>
        <v>-0.23738001722652877</v>
      </c>
      <c r="H28" s="61" t="s">
        <v>13</v>
      </c>
      <c r="I28" s="60">
        <f>+I27/I13</f>
        <v>-1.2566683909202542E-2</v>
      </c>
      <c r="J28" s="61" t="s">
        <v>13</v>
      </c>
      <c r="K28" s="60">
        <f>+K27/K13</f>
        <v>7.5895127798102965E-2</v>
      </c>
      <c r="L28" s="61" t="s">
        <v>13</v>
      </c>
      <c r="M28" s="193">
        <f>+M27/M13</f>
        <v>0.12368155710214813</v>
      </c>
      <c r="N28" s="194" t="s">
        <v>10</v>
      </c>
      <c r="O28" s="195">
        <f>+O27/O13</f>
        <v>0.18684869697582082</v>
      </c>
      <c r="P28" s="196" t="s">
        <v>10</v>
      </c>
    </row>
    <row r="29" spans="2:16" ht="19.45" customHeight="1">
      <c r="B29" s="23" t="s">
        <v>14</v>
      </c>
      <c r="C29" s="62"/>
      <c r="E29" s="246">
        <f>E27</f>
        <v>-60</v>
      </c>
      <c r="F29" s="247"/>
      <c r="G29" s="63">
        <f>G27</f>
        <v>-137.79909999999995</v>
      </c>
      <c r="H29" s="64">
        <f>G29/E29-100%</f>
        <v>1.2966516666666661</v>
      </c>
      <c r="I29" s="63">
        <f>I27</f>
        <v>-16.212573599999871</v>
      </c>
      <c r="J29" s="64">
        <f>I29/G29-100%</f>
        <v>-0.88234630269718828</v>
      </c>
      <c r="K29" s="63">
        <f>K27</f>
        <v>142.3628654150001</v>
      </c>
      <c r="L29" s="64">
        <f>K29/I29-100%</f>
        <v>-9.7810158292821097</v>
      </c>
      <c r="M29" s="197">
        <f>M27</f>
        <v>283.5551178274801</v>
      </c>
      <c r="N29" s="198">
        <f>M29/K29-100%</f>
        <v>0.9917772587738547</v>
      </c>
      <c r="O29" s="199">
        <f>O27</f>
        <v>579.39194124860228</v>
      </c>
      <c r="P29" s="200">
        <f>O29/M29-100%</f>
        <v>1.0433132919191905</v>
      </c>
    </row>
    <row r="30" spans="2:16" ht="19.45" customHeight="1">
      <c r="B30" s="65" t="s">
        <v>15</v>
      </c>
      <c r="C30" s="39"/>
      <c r="D30" s="105"/>
      <c r="E30" s="248">
        <f>ROUND(E29*0.24,0)</f>
        <v>-14</v>
      </c>
      <c r="F30" s="249"/>
      <c r="G30" s="66">
        <f>ROUND(G29*0.24,0)</f>
        <v>-33</v>
      </c>
      <c r="H30" s="67"/>
      <c r="I30" s="66">
        <f>ROUND(I29*0.24,0)</f>
        <v>-4</v>
      </c>
      <c r="J30" s="67"/>
      <c r="K30" s="66">
        <f>ROUND(K29*0.24,0)</f>
        <v>34</v>
      </c>
      <c r="L30" s="67"/>
      <c r="M30" s="201">
        <f>ROUND(M29*0.24,0)</f>
        <v>68</v>
      </c>
      <c r="N30" s="202"/>
      <c r="O30" s="203">
        <f>ROUND(O29*0.24,0)</f>
        <v>139</v>
      </c>
      <c r="P30" s="204"/>
    </row>
    <row r="31" spans="2:16" ht="19.45" customHeight="1">
      <c r="B31" s="57" t="s">
        <v>16</v>
      </c>
      <c r="C31" s="58"/>
      <c r="D31" s="99"/>
      <c r="E31" s="250">
        <f>E29-E30</f>
        <v>-46</v>
      </c>
      <c r="F31" s="224"/>
      <c r="G31" s="68">
        <f>G29-G30</f>
        <v>-104.79909999999995</v>
      </c>
      <c r="H31" s="21">
        <f>G31/E31-1</f>
        <v>1.2782413043478251</v>
      </c>
      <c r="I31" s="68">
        <f>I29-I30</f>
        <v>-12.212573599999871</v>
      </c>
      <c r="J31" s="21">
        <f>I31/G31-1</f>
        <v>-0.88346680839816494</v>
      </c>
      <c r="K31" s="68">
        <f>K29-K30</f>
        <v>108.3628654150001</v>
      </c>
      <c r="L31" s="21">
        <f>K31/I31-1</f>
        <v>-9.8730573066926084</v>
      </c>
      <c r="M31" s="205">
        <f>M29-M30</f>
        <v>215.5551178274801</v>
      </c>
      <c r="N31" s="156">
        <f>M31/K31-1</f>
        <v>0.98919728637631565</v>
      </c>
      <c r="O31" s="206">
        <f>O29-O30</f>
        <v>440.39194124860228</v>
      </c>
      <c r="P31" s="157">
        <f>O31/M31-1</f>
        <v>1.0430595463804795</v>
      </c>
    </row>
    <row r="32" spans="2:16" ht="19.45" customHeight="1" thickBot="1">
      <c r="B32" s="69" t="s">
        <v>9</v>
      </c>
      <c r="C32" s="70"/>
      <c r="D32" s="104"/>
      <c r="E32" s="251"/>
      <c r="F32" s="252"/>
      <c r="G32" s="71">
        <f>G31/G13</f>
        <v>-0.18053247200689054</v>
      </c>
      <c r="H32" s="72"/>
      <c r="I32" s="71">
        <f>I31/I13</f>
        <v>-9.4662054239847138E-3</v>
      </c>
      <c r="J32" s="73" t="s">
        <v>13</v>
      </c>
      <c r="K32" s="71">
        <f>K31/K13</f>
        <v>5.7769373321236321E-2</v>
      </c>
      <c r="L32" s="73" t="s">
        <v>13</v>
      </c>
      <c r="M32" s="207">
        <f>M31/M13</f>
        <v>9.4021200599384971E-2</v>
      </c>
      <c r="N32" s="208" t="s">
        <v>10</v>
      </c>
      <c r="O32" s="209">
        <f>O31/O13</f>
        <v>0.14202244546864776</v>
      </c>
      <c r="P32" s="210" t="s">
        <v>10</v>
      </c>
    </row>
    <row r="34" spans="2:16" ht="19.45" customHeight="1" thickBot="1">
      <c r="B34" s="31" t="s">
        <v>17</v>
      </c>
      <c r="D34" s="2" t="s">
        <v>54</v>
      </c>
      <c r="E34" s="253"/>
      <c r="G34" s="74">
        <v>0.02</v>
      </c>
      <c r="H34" s="75"/>
      <c r="I34" s="74">
        <v>0.02</v>
      </c>
      <c r="J34" s="76"/>
      <c r="K34" s="74">
        <v>0.02</v>
      </c>
      <c r="M34" s="211">
        <v>0.02</v>
      </c>
      <c r="O34" s="211">
        <v>0.02</v>
      </c>
    </row>
    <row r="35" spans="2:16" ht="19.45" customHeight="1">
      <c r="B35" s="50" t="s">
        <v>18</v>
      </c>
      <c r="C35" s="77" t="s">
        <v>19</v>
      </c>
      <c r="D35" s="106">
        <v>25</v>
      </c>
      <c r="E35" s="149" t="str">
        <f>E11</f>
        <v>FY</v>
      </c>
      <c r="F35" s="220"/>
      <c r="G35" s="8" t="str">
        <f>G11</f>
        <v>FY</v>
      </c>
      <c r="H35" s="7"/>
      <c r="I35" s="8" t="str">
        <f>I11</f>
        <v>FY</v>
      </c>
      <c r="J35" s="78"/>
      <c r="K35" s="8" t="str">
        <f>K11</f>
        <v>FY</v>
      </c>
      <c r="L35" s="78"/>
      <c r="M35" s="149" t="str">
        <f>M11</f>
        <v>FY</v>
      </c>
      <c r="N35" s="212"/>
      <c r="O35" s="149" t="str">
        <f>O11</f>
        <v>FY</v>
      </c>
      <c r="P35" s="212"/>
    </row>
    <row r="36" spans="2:16" ht="19.45" customHeight="1">
      <c r="B36" s="271" t="s">
        <v>158</v>
      </c>
      <c r="C36" s="2">
        <v>70</v>
      </c>
      <c r="D36" s="2">
        <f t="shared" ref="D36:D49" si="0">C36/$D$35</f>
        <v>2.8</v>
      </c>
      <c r="E36" s="143"/>
      <c r="F36" s="143"/>
      <c r="G36" s="90">
        <f>ROUND(D36*1.34*12,0)*0.5</f>
        <v>22.5</v>
      </c>
      <c r="H36" s="90"/>
      <c r="I36" s="90">
        <f>ROUND(D36*(1+I34)*1.34*12,0)</f>
        <v>46</v>
      </c>
      <c r="J36" s="90"/>
      <c r="K36" s="90">
        <f>ROUND(I36*(1+K34),0)</f>
        <v>47</v>
      </c>
      <c r="L36" s="90"/>
      <c r="M36" s="143">
        <f>ROUND(K36*(1+M34),0)</f>
        <v>48</v>
      </c>
      <c r="O36" s="143">
        <f>ROUND(M36*(1+O34),0)</f>
        <v>49</v>
      </c>
    </row>
    <row r="37" spans="2:16" ht="19.45" customHeight="1">
      <c r="B37" s="271" t="s">
        <v>159</v>
      </c>
      <c r="C37" s="2">
        <v>70</v>
      </c>
      <c r="D37" s="2">
        <f t="shared" si="0"/>
        <v>2.8</v>
      </c>
      <c r="E37" s="143"/>
      <c r="F37" s="143"/>
      <c r="G37" s="90">
        <f>ROUND(D37*1.34*12,0)*0.5</f>
        <v>22.5</v>
      </c>
      <c r="H37" s="90"/>
      <c r="I37" s="90">
        <f>ROUND(D37*(1+I34)*1.34*12,0)</f>
        <v>46</v>
      </c>
      <c r="J37" s="90"/>
      <c r="K37" s="90">
        <f>ROUND(I37*(1+K34),0)</f>
        <v>47</v>
      </c>
      <c r="L37" s="90"/>
      <c r="M37" s="143">
        <f>ROUND(K37*(1+M34),0)</f>
        <v>48</v>
      </c>
      <c r="O37" s="143">
        <f>ROUND(M37*(1+O34),0)</f>
        <v>49</v>
      </c>
    </row>
    <row r="38" spans="2:16" ht="19.45" customHeight="1">
      <c r="B38" s="2" t="s">
        <v>94</v>
      </c>
      <c r="C38" s="2">
        <v>70</v>
      </c>
      <c r="D38" s="2">
        <f t="shared" si="0"/>
        <v>2.8</v>
      </c>
      <c r="E38" s="143"/>
      <c r="F38" s="143"/>
      <c r="G38" s="90">
        <f>ROUND(D38*1.34*9,0)</f>
        <v>34</v>
      </c>
      <c r="H38" s="2" t="s">
        <v>68</v>
      </c>
      <c r="I38" s="90">
        <f>ROUND(D38*1.34*12,0)</f>
        <v>45</v>
      </c>
      <c r="K38" s="90">
        <f>ROUND(D38*1.34*12,0)</f>
        <v>45</v>
      </c>
      <c r="M38" s="143">
        <f>ROUND(K38*(1+M34),0)</f>
        <v>46</v>
      </c>
      <c r="O38" s="143">
        <f>ROUND(M38*(1+O34),0)</f>
        <v>47</v>
      </c>
    </row>
    <row r="39" spans="2:16" ht="19.45" customHeight="1">
      <c r="B39" s="2" t="s">
        <v>128</v>
      </c>
      <c r="C39" s="2">
        <v>50</v>
      </c>
      <c r="D39" s="2">
        <f t="shared" si="0"/>
        <v>2</v>
      </c>
      <c r="E39" s="143"/>
      <c r="F39" s="143"/>
      <c r="G39" s="90">
        <f>(ROUND(D39*1.34*12,0))*0</f>
        <v>0</v>
      </c>
      <c r="H39" s="90"/>
      <c r="I39" s="90">
        <f>ROUND(D39*(1+I34)*1.34*12,0)</f>
        <v>33</v>
      </c>
      <c r="K39" s="90">
        <f>ROUND(I39*(1+K34),0)</f>
        <v>34</v>
      </c>
      <c r="L39" s="90"/>
      <c r="M39" s="143">
        <f>ROUND(K39*(1+M34),0)</f>
        <v>35</v>
      </c>
      <c r="O39" s="143">
        <f>ROUND(M39*(1+O34),0)</f>
        <v>36</v>
      </c>
    </row>
    <row r="40" spans="2:16" ht="19.45" customHeight="1">
      <c r="B40" s="2" t="s">
        <v>142</v>
      </c>
      <c r="C40" s="2">
        <v>18</v>
      </c>
      <c r="D40" s="2">
        <f t="shared" si="0"/>
        <v>0.72</v>
      </c>
      <c r="E40" s="143"/>
      <c r="F40" s="143"/>
      <c r="G40" s="90">
        <f>D40*12</f>
        <v>8.64</v>
      </c>
      <c r="H40" s="90"/>
      <c r="I40" s="90">
        <f>G40</f>
        <v>8.64</v>
      </c>
      <c r="J40" s="90"/>
      <c r="K40" s="90">
        <f>I40</f>
        <v>8.64</v>
      </c>
      <c r="L40" s="90"/>
      <c r="M40" s="143">
        <f>K40</f>
        <v>8.64</v>
      </c>
      <c r="O40" s="143">
        <f>M40</f>
        <v>8.64</v>
      </c>
    </row>
    <row r="41" spans="2:16" ht="19.45" customHeight="1">
      <c r="B41" s="2" t="s">
        <v>143</v>
      </c>
      <c r="C41" s="2">
        <v>18</v>
      </c>
      <c r="D41" s="2">
        <f t="shared" si="0"/>
        <v>0.72</v>
      </c>
      <c r="E41" s="143"/>
      <c r="F41" s="143"/>
      <c r="G41" s="90">
        <f>D41*12</f>
        <v>8.64</v>
      </c>
      <c r="H41" s="90"/>
      <c r="I41" s="90">
        <f>D41*12</f>
        <v>8.64</v>
      </c>
      <c r="J41" s="90"/>
      <c r="K41" s="90">
        <f t="shared" ref="K41" si="1">I41</f>
        <v>8.64</v>
      </c>
      <c r="L41" s="90"/>
      <c r="M41" s="143">
        <f t="shared" ref="M41" si="2">K41</f>
        <v>8.64</v>
      </c>
      <c r="O41" s="143">
        <f t="shared" ref="O41" si="3">M41</f>
        <v>8.64</v>
      </c>
    </row>
    <row r="42" spans="2:16" ht="19.45" customHeight="1">
      <c r="B42" s="2" t="s">
        <v>143</v>
      </c>
      <c r="C42" s="2">
        <v>18</v>
      </c>
      <c r="D42" s="2">
        <f t="shared" si="0"/>
        <v>0.72</v>
      </c>
      <c r="E42" s="143"/>
      <c r="F42" s="143"/>
      <c r="G42" s="90">
        <f>D42*9</f>
        <v>6.4799999999999995</v>
      </c>
      <c r="H42" s="90" t="s">
        <v>68</v>
      </c>
      <c r="I42" s="90">
        <f>D42*12</f>
        <v>8.64</v>
      </c>
      <c r="J42" s="90"/>
      <c r="K42" s="90">
        <f>D42*12</f>
        <v>8.64</v>
      </c>
      <c r="L42" s="90"/>
      <c r="M42" s="143">
        <f>D42*12</f>
        <v>8.64</v>
      </c>
      <c r="O42" s="143">
        <f>D42*12</f>
        <v>8.64</v>
      </c>
    </row>
    <row r="43" spans="2:16" ht="19.45" customHeight="1">
      <c r="B43" s="2" t="s">
        <v>29</v>
      </c>
      <c r="C43" s="2">
        <v>25</v>
      </c>
      <c r="D43" s="2">
        <f t="shared" si="0"/>
        <v>1</v>
      </c>
      <c r="E43" s="143"/>
      <c r="F43" s="143"/>
      <c r="G43" s="90">
        <f>ROUND(D43*1.34*10,0)</f>
        <v>13</v>
      </c>
      <c r="H43" s="90" t="s">
        <v>115</v>
      </c>
      <c r="I43" s="90">
        <f>ROUND(D43*(1+I34)*1.34*12,0)</f>
        <v>16</v>
      </c>
      <c r="J43" s="90"/>
      <c r="K43" s="90">
        <f>ROUND(I43*(1+K34),0)</f>
        <v>16</v>
      </c>
      <c r="L43" s="90"/>
      <c r="M43" s="143">
        <f>ROUND(K43*(1+M34),0)</f>
        <v>16</v>
      </c>
      <c r="O43" s="143">
        <f>ROUND(M43*(1+O34),0)</f>
        <v>16</v>
      </c>
    </row>
    <row r="44" spans="2:16" ht="19.45" customHeight="1">
      <c r="B44" s="2" t="s">
        <v>117</v>
      </c>
      <c r="C44" s="2">
        <v>70</v>
      </c>
      <c r="D44" s="2">
        <f t="shared" si="0"/>
        <v>2.8</v>
      </c>
      <c r="E44" s="143"/>
      <c r="F44" s="143"/>
      <c r="G44" s="90">
        <f>ROUND(D44*1.34*12,0)*0.5</f>
        <v>22.5</v>
      </c>
      <c r="H44" s="90"/>
      <c r="I44" s="90">
        <f>ROUND(D44*(1+I34)*1.34*12,0)</f>
        <v>46</v>
      </c>
      <c r="J44" s="90"/>
      <c r="K44" s="90">
        <f>ROUND(I44*(1+K34),0)</f>
        <v>47</v>
      </c>
      <c r="L44" s="90"/>
      <c r="M44" s="143">
        <f>ROUND(K44*(1+M34),0)</f>
        <v>48</v>
      </c>
      <c r="O44" s="143">
        <f>ROUND(M44*(1+O34),0)</f>
        <v>49</v>
      </c>
    </row>
    <row r="45" spans="2:16" ht="19.45" customHeight="1">
      <c r="B45" s="2" t="s">
        <v>118</v>
      </c>
      <c r="C45" s="2">
        <v>70</v>
      </c>
      <c r="D45" s="2">
        <f t="shared" si="0"/>
        <v>2.8</v>
      </c>
      <c r="E45" s="143">
        <f>ROUND(D45*1.34*0.1*3,0)</f>
        <v>1</v>
      </c>
      <c r="F45" s="143" t="s">
        <v>53</v>
      </c>
      <c r="G45" s="90">
        <f>ROUND(D45*1.34*0.1*12,0)</f>
        <v>5</v>
      </c>
      <c r="H45" s="90"/>
      <c r="I45" s="90">
        <f>ROUND(G45*(1+I34),0)</f>
        <v>5</v>
      </c>
      <c r="J45" s="90"/>
      <c r="K45" s="90">
        <f>ROUND(I45*(1+K34),0)</f>
        <v>5</v>
      </c>
      <c r="L45" s="90"/>
      <c r="M45" s="143">
        <f>ROUND(K45*(1+M34),0)</f>
        <v>5</v>
      </c>
      <c r="O45" s="143">
        <f>ROUND(M45*(1+O34),0)</f>
        <v>5</v>
      </c>
    </row>
    <row r="46" spans="2:16" ht="19.45" customHeight="1">
      <c r="B46" s="2" t="s">
        <v>119</v>
      </c>
      <c r="C46" s="2">
        <v>150</v>
      </c>
      <c r="D46" s="2">
        <f t="shared" si="0"/>
        <v>6</v>
      </c>
      <c r="E46" s="143">
        <f>ROUND(D46*1.34*0.05*1,0)</f>
        <v>0</v>
      </c>
      <c r="F46" s="143" t="s">
        <v>114</v>
      </c>
      <c r="G46" s="90">
        <f>ROUND(D46*1.34*0.05*12,0)</f>
        <v>5</v>
      </c>
      <c r="H46" s="90"/>
      <c r="I46" s="90">
        <f>ROUND(G46*(1+I34),0)</f>
        <v>5</v>
      </c>
      <c r="J46" s="90"/>
      <c r="K46" s="90">
        <f>ROUND(I46*(1+K34),0)</f>
        <v>5</v>
      </c>
      <c r="L46" s="90"/>
      <c r="M46" s="143">
        <f>ROUND(K46*(1+M34),0)</f>
        <v>5</v>
      </c>
      <c r="O46" s="143">
        <f>ROUND(M46*(1+O34),0)</f>
        <v>5</v>
      </c>
    </row>
    <row r="47" spans="2:16" ht="19.45" customHeight="1">
      <c r="B47" s="2" t="s">
        <v>121</v>
      </c>
      <c r="C47" s="90">
        <v>50</v>
      </c>
      <c r="D47" s="2">
        <f t="shared" si="0"/>
        <v>2</v>
      </c>
      <c r="E47" s="143">
        <f>ROUND(D47*1.34*0.5*2,0)</f>
        <v>3</v>
      </c>
      <c r="F47" s="143" t="s">
        <v>20</v>
      </c>
      <c r="G47" s="90">
        <f>ROUND(D47*1.34*12,0)</f>
        <v>32</v>
      </c>
      <c r="H47" s="90"/>
      <c r="I47" s="90">
        <f>ROUND(G47*(1+I34),0)</f>
        <v>33</v>
      </c>
      <c r="J47" s="90"/>
      <c r="K47" s="90">
        <f>ROUND(I47*(1+K34),0)</f>
        <v>34</v>
      </c>
      <c r="L47" s="90"/>
      <c r="M47" s="143">
        <f>ROUND(K47*(1+M34),0)</f>
        <v>35</v>
      </c>
      <c r="O47" s="143">
        <f>ROUND(M47*(1+O34),0)</f>
        <v>36</v>
      </c>
    </row>
    <row r="48" spans="2:16" ht="19.45" customHeight="1">
      <c r="B48" s="2" t="s">
        <v>21</v>
      </c>
      <c r="C48" s="2">
        <v>30</v>
      </c>
      <c r="D48" s="2">
        <f t="shared" si="0"/>
        <v>1.2</v>
      </c>
      <c r="E48" s="143">
        <f>ROUND(D48*0.85*1,0)</f>
        <v>1</v>
      </c>
      <c r="F48" s="143" t="s">
        <v>114</v>
      </c>
      <c r="G48" s="90">
        <f>ROUND(D48*2*12,0)</f>
        <v>29</v>
      </c>
      <c r="H48" s="90"/>
      <c r="I48" s="90">
        <f>ROUND(D48*2*12,0)</f>
        <v>29</v>
      </c>
      <c r="J48" s="90"/>
      <c r="K48" s="90">
        <f>ROUND((D48*2*12)+(D48*9),0)</f>
        <v>40</v>
      </c>
      <c r="L48" s="90"/>
      <c r="M48" s="143">
        <f>ROUND((D48*3*12),0)</f>
        <v>43</v>
      </c>
      <c r="O48" s="143">
        <f>ROUND((D48*3*12),0)</f>
        <v>43</v>
      </c>
    </row>
    <row r="49" spans="2:16" ht="19.45" customHeight="1">
      <c r="B49" s="2" t="s">
        <v>120</v>
      </c>
      <c r="C49" s="2">
        <v>60</v>
      </c>
      <c r="D49" s="2">
        <f t="shared" si="0"/>
        <v>2.4</v>
      </c>
      <c r="E49" s="143">
        <f>ROUND(D49*1.34*0.05*3,0)</f>
        <v>0</v>
      </c>
      <c r="F49" s="143" t="s">
        <v>114</v>
      </c>
      <c r="G49" s="90">
        <f>ROUND(D49*1.34*0.05*12,0)</f>
        <v>2</v>
      </c>
      <c r="H49" s="90"/>
      <c r="I49" s="90">
        <f>ROUND(G49*(1+I34),0)</f>
        <v>2</v>
      </c>
      <c r="J49" s="90"/>
      <c r="K49" s="90">
        <f>ROUND(I49*(1+K34),0)</f>
        <v>2</v>
      </c>
      <c r="L49" s="90"/>
      <c r="M49" s="143">
        <f>ROUND(K49*(1+M34),0)</f>
        <v>2</v>
      </c>
      <c r="O49" s="143">
        <f>ROUND(M49*(1+O34),0)</f>
        <v>2</v>
      </c>
    </row>
    <row r="50" spans="2:16" ht="19.45" customHeight="1">
      <c r="B50" s="2" t="s">
        <v>116</v>
      </c>
      <c r="E50" s="143">
        <f>'Warehouse in Prague'!B7*2/D35</f>
        <v>4</v>
      </c>
      <c r="F50" s="143" t="s">
        <v>114</v>
      </c>
      <c r="G50" s="90">
        <f>'Warehouse in Prague'!C7*12/D35</f>
        <v>24.6</v>
      </c>
      <c r="H50" s="90"/>
      <c r="I50" s="90">
        <f>'Warehouse in Prague'!D7*12/D35</f>
        <v>25.214999999999996</v>
      </c>
      <c r="J50" s="90"/>
      <c r="K50" s="90">
        <f>'Warehouse in Prague'!E7*12/D35</f>
        <v>25.845374999999994</v>
      </c>
      <c r="L50" s="90"/>
      <c r="M50" s="143">
        <f>'Warehouse in Prague'!F7*12/D35</f>
        <v>26.491509374999993</v>
      </c>
      <c r="O50" s="143">
        <f>'Warehouse in Prague'!G7*12/D35</f>
        <v>27.153797109374988</v>
      </c>
    </row>
    <row r="51" spans="2:16" ht="19.45" customHeight="1">
      <c r="B51" s="2" t="s">
        <v>31</v>
      </c>
      <c r="E51" s="213">
        <f>30*E5*0.6/1000/D35</f>
        <v>0</v>
      </c>
      <c r="F51" s="143" t="s">
        <v>129</v>
      </c>
      <c r="G51" s="107">
        <f>300*G5*0.6/1000/D35</f>
        <v>0.6966</v>
      </c>
      <c r="H51" s="90" t="s">
        <v>93</v>
      </c>
      <c r="I51" s="107">
        <f>200*I5*0.6/1000/D35</f>
        <v>0.53008560000000005</v>
      </c>
      <c r="J51" s="90" t="s">
        <v>55</v>
      </c>
      <c r="K51" s="107">
        <f>150*K5*0.6/1000/D35</f>
        <v>0.43354723499999998</v>
      </c>
      <c r="L51" s="90" t="s">
        <v>56</v>
      </c>
      <c r="M51" s="213">
        <f>100*M5*0.6/1000/D35</f>
        <v>0.29970595511999998</v>
      </c>
      <c r="N51" s="144" t="s">
        <v>57</v>
      </c>
      <c r="O51" s="213">
        <f>100*O5*0.6/1000/D35</f>
        <v>0.30397100140439998</v>
      </c>
      <c r="P51" s="144" t="s">
        <v>57</v>
      </c>
    </row>
    <row r="52" spans="2:16" ht="19.45" customHeight="1">
      <c r="B52" s="2" t="s">
        <v>135</v>
      </c>
      <c r="C52" s="79">
        <v>0.03</v>
      </c>
      <c r="D52" s="79"/>
      <c r="E52" s="143"/>
      <c r="F52" s="143"/>
      <c r="G52" s="90">
        <f>ROUND(G13*$C$52,0)</f>
        <v>17</v>
      </c>
      <c r="H52" s="90"/>
      <c r="I52" s="90">
        <f>ROUND(I13*$C$52,0)</f>
        <v>39</v>
      </c>
      <c r="J52" s="90"/>
      <c r="K52" s="90">
        <f>ROUND(K13*$C$52,0)</f>
        <v>56</v>
      </c>
      <c r="L52" s="90"/>
      <c r="M52" s="143">
        <f>ROUND(M13*$C$52,0)</f>
        <v>69</v>
      </c>
      <c r="O52" s="143">
        <f>ROUND(O13*$C$52,0)</f>
        <v>93</v>
      </c>
    </row>
    <row r="53" spans="2:16" ht="19.45" customHeight="1">
      <c r="B53" s="2" t="s">
        <v>92</v>
      </c>
      <c r="C53" s="80"/>
      <c r="D53" s="80"/>
      <c r="E53" s="143">
        <v>1</v>
      </c>
      <c r="F53" s="143"/>
      <c r="G53" s="90">
        <f>G13*0.085</f>
        <v>49.342500000000001</v>
      </c>
      <c r="H53" s="90"/>
      <c r="I53" s="90">
        <f>I13*0.04</f>
        <v>51.604938000000004</v>
      </c>
      <c r="J53" s="90"/>
      <c r="K53" s="90">
        <f>K13*0.05</f>
        <v>93.789199350000004</v>
      </c>
      <c r="L53" s="90"/>
      <c r="M53" s="143">
        <f>M13*0.042</f>
        <v>96.290144042400001</v>
      </c>
      <c r="O53" s="143">
        <f>O13*0.03</f>
        <v>93.025846681217985</v>
      </c>
    </row>
    <row r="54" spans="2:16" ht="19.45" customHeight="1">
      <c r="C54" s="80"/>
      <c r="D54" s="80"/>
      <c r="E54" s="143"/>
      <c r="F54" s="143"/>
      <c r="G54" s="90"/>
      <c r="H54" s="90"/>
      <c r="I54" s="90"/>
      <c r="J54" s="90"/>
      <c r="K54" s="90"/>
      <c r="L54" s="90"/>
      <c r="M54" s="143"/>
      <c r="O54" s="143"/>
    </row>
    <row r="55" spans="2:16" ht="19.45" customHeight="1">
      <c r="B55" s="2" t="s">
        <v>91</v>
      </c>
      <c r="C55" s="80"/>
      <c r="D55" s="80"/>
      <c r="E55" s="213">
        <f>CAPEX!D10</f>
        <v>0</v>
      </c>
      <c r="F55" s="143"/>
      <c r="G55" s="90">
        <f>CAPEX!F10</f>
        <v>17.400000000000002</v>
      </c>
      <c r="H55" s="90"/>
      <c r="I55" s="90">
        <f>CAPEX!H10</f>
        <v>34.065999999999995</v>
      </c>
      <c r="J55" s="90"/>
      <c r="K55" s="90">
        <f>CAPEX!J10</f>
        <v>34.433</v>
      </c>
      <c r="L55" s="90"/>
      <c r="M55" s="143">
        <f>CAPEX!L10</f>
        <v>34.065999999999995</v>
      </c>
      <c r="O55" s="143">
        <f>CAPEX!N10</f>
        <v>34.065999999999995</v>
      </c>
    </row>
    <row r="57" spans="2:16" s="31" customFormat="1" ht="19.45" customHeight="1">
      <c r="B57" s="120" t="s">
        <v>97</v>
      </c>
      <c r="C57" s="120"/>
      <c r="D57" s="120"/>
      <c r="E57" s="214">
        <f>SUM(E36:E56)</f>
        <v>10</v>
      </c>
      <c r="F57" s="254"/>
      <c r="G57" s="121">
        <f>SUM(G36:G56)</f>
        <v>320.29909999999995</v>
      </c>
      <c r="H57" s="122">
        <f>G57/E57-1</f>
        <v>31.029909999999994</v>
      </c>
      <c r="I57" s="121">
        <f>SUM(I36:I56)</f>
        <v>482.33602359999992</v>
      </c>
      <c r="J57" s="122">
        <f>I57/G57-1</f>
        <v>0.50589253482135921</v>
      </c>
      <c r="K57" s="121">
        <f>SUM(K36:K56)</f>
        <v>558.42112158499992</v>
      </c>
      <c r="L57" s="122">
        <f>K57/I57-1</f>
        <v>0.15774293078324408</v>
      </c>
      <c r="M57" s="214">
        <f>SUM(M36:M56)</f>
        <v>583.06735937251995</v>
      </c>
      <c r="N57" s="215">
        <f>M57/K57-1</f>
        <v>4.4135575885033029E-2</v>
      </c>
      <c r="O57" s="214">
        <f>SUM(O36:O56)</f>
        <v>610.4696147919974</v>
      </c>
      <c r="P57" s="215">
        <f>O57/M57-1</f>
        <v>4.6996723412826569E-2</v>
      </c>
    </row>
    <row r="58" spans="2:16" ht="19.45" customHeight="1">
      <c r="B58" s="137" t="s">
        <v>107</v>
      </c>
    </row>
    <row r="59" spans="2:16" ht="19.45" customHeight="1">
      <c r="B59" s="2" t="s">
        <v>94</v>
      </c>
      <c r="C59" s="2">
        <v>70</v>
      </c>
      <c r="D59" s="2">
        <f t="shared" ref="D59:D61" si="4">C59/$D$35</f>
        <v>2.8</v>
      </c>
      <c r="E59" s="143"/>
      <c r="F59" s="143"/>
      <c r="G59" s="90"/>
      <c r="H59" s="90"/>
      <c r="I59" s="90"/>
      <c r="J59" s="90"/>
      <c r="K59" s="90">
        <f>ROUND(D59*(1+K56)*1.34*12,0)</f>
        <v>45</v>
      </c>
      <c r="L59" s="90"/>
      <c r="M59" s="143">
        <f>ROUND(K59*(1+M56),0)</f>
        <v>45</v>
      </c>
      <c r="O59" s="143">
        <f>ROUND(M59*(1+O56),0)</f>
        <v>45</v>
      </c>
    </row>
    <row r="60" spans="2:16" ht="19.45" customHeight="1">
      <c r="B60" s="2" t="s">
        <v>95</v>
      </c>
      <c r="C60" s="2">
        <v>16</v>
      </c>
      <c r="D60" s="2">
        <f t="shared" si="4"/>
        <v>0.64</v>
      </c>
      <c r="E60" s="143"/>
      <c r="F60" s="143"/>
      <c r="G60" s="90"/>
      <c r="H60" s="90"/>
      <c r="I60" s="90"/>
      <c r="J60" s="90"/>
      <c r="K60" s="90">
        <f>D60*12</f>
        <v>7.68</v>
      </c>
      <c r="L60" s="90"/>
      <c r="M60" s="143">
        <f t="shared" ref="M60" si="5">K60</f>
        <v>7.68</v>
      </c>
      <c r="O60" s="143">
        <f t="shared" ref="O60" si="6">M60</f>
        <v>7.68</v>
      </c>
    </row>
    <row r="61" spans="2:16" ht="19.45" customHeight="1">
      <c r="B61" s="2" t="s">
        <v>21</v>
      </c>
      <c r="C61" s="2">
        <v>20</v>
      </c>
      <c r="D61" s="2">
        <f t="shared" si="4"/>
        <v>0.8</v>
      </c>
      <c r="E61" s="143"/>
      <c r="F61" s="143"/>
      <c r="G61" s="90"/>
      <c r="H61" s="90"/>
      <c r="I61" s="90"/>
      <c r="J61" s="90"/>
      <c r="K61" s="90">
        <f>ROUND(D61*12,0)</f>
        <v>10</v>
      </c>
      <c r="L61" s="90"/>
      <c r="M61" s="143">
        <f>ROUND((D61*12),0)</f>
        <v>10</v>
      </c>
      <c r="O61" s="143">
        <f>ROUND((D61*12),0)</f>
        <v>10</v>
      </c>
    </row>
    <row r="62" spans="2:16" ht="19.45" customHeight="1">
      <c r="B62" s="2" t="s">
        <v>31</v>
      </c>
      <c r="E62" s="213"/>
      <c r="F62" s="143"/>
      <c r="G62" s="107">
        <f>50*E5*0.6/1000/D35</f>
        <v>0</v>
      </c>
      <c r="H62" s="90" t="s">
        <v>102</v>
      </c>
      <c r="I62" s="107">
        <f>80*E5*0.6/1000/D35</f>
        <v>0</v>
      </c>
      <c r="J62" s="90" t="s">
        <v>103</v>
      </c>
      <c r="K62" s="107">
        <f>100*E5*0.6/1000/D35</f>
        <v>0</v>
      </c>
      <c r="L62" s="90" t="s">
        <v>57</v>
      </c>
      <c r="M62" s="213">
        <f>80*E5*0.6/1000/D35</f>
        <v>0</v>
      </c>
      <c r="N62" s="143" t="s">
        <v>103</v>
      </c>
      <c r="O62" s="213">
        <f>50*E5*0.6/1000/D35</f>
        <v>0</v>
      </c>
      <c r="P62" s="143" t="s">
        <v>102</v>
      </c>
    </row>
    <row r="63" spans="2:16" ht="19.45" customHeight="1">
      <c r="B63" s="2" t="s">
        <v>92</v>
      </c>
      <c r="C63" s="80"/>
      <c r="D63" s="80"/>
      <c r="E63" s="143"/>
      <c r="F63" s="143"/>
      <c r="G63" s="90">
        <f>G13*0.004</f>
        <v>2.3220000000000001</v>
      </c>
      <c r="H63" s="90"/>
      <c r="I63" s="90">
        <f>I13*0.007</f>
        <v>9.0308641500000011</v>
      </c>
      <c r="J63" s="90"/>
      <c r="K63" s="90">
        <f>K13*0.008</f>
        <v>15.006271896000001</v>
      </c>
      <c r="L63" s="90"/>
      <c r="M63" s="143">
        <f>M13*0.007</f>
        <v>16.048357340399999</v>
      </c>
      <c r="O63" s="143">
        <f>O13*0.005</f>
        <v>15.504307780202998</v>
      </c>
    </row>
    <row r="64" spans="2:16" ht="19.45" customHeight="1">
      <c r="C64" s="80"/>
      <c r="D64" s="80"/>
      <c r="E64" s="143"/>
      <c r="F64" s="143"/>
      <c r="G64" s="90"/>
      <c r="H64" s="90"/>
      <c r="I64" s="90"/>
      <c r="J64" s="90"/>
      <c r="K64" s="90"/>
      <c r="L64" s="90"/>
      <c r="M64" s="143"/>
      <c r="O64" s="143"/>
    </row>
    <row r="65" spans="2:16" ht="19.45" customHeight="1">
      <c r="B65" s="2" t="s">
        <v>91</v>
      </c>
      <c r="C65" s="80"/>
      <c r="D65" s="80"/>
      <c r="E65" s="143">
        <v>0</v>
      </c>
      <c r="F65" s="143"/>
      <c r="G65" s="90">
        <v>0</v>
      </c>
      <c r="H65" s="90"/>
      <c r="I65" s="90">
        <f>CAPEX!H21</f>
        <v>17.067</v>
      </c>
      <c r="J65" s="90"/>
      <c r="K65" s="90">
        <f>CAPEX!J21</f>
        <v>16.734000000000002</v>
      </c>
      <c r="L65" s="90"/>
      <c r="M65" s="143">
        <f>CAPEX!L21</f>
        <v>16.734000000000002</v>
      </c>
      <c r="O65" s="143">
        <f>CAPEX!N21</f>
        <v>16.667000000000002</v>
      </c>
    </row>
    <row r="67" spans="2:16" s="31" customFormat="1" ht="19.45" customHeight="1">
      <c r="B67" s="120" t="s">
        <v>98</v>
      </c>
      <c r="C67" s="120"/>
      <c r="D67" s="120"/>
      <c r="E67" s="214">
        <f>SUM(E59:E60)</f>
        <v>0</v>
      </c>
      <c r="F67" s="254"/>
      <c r="G67" s="121">
        <f>SUM(G59:G65)</f>
        <v>2.3220000000000001</v>
      </c>
      <c r="H67" s="120"/>
      <c r="I67" s="121">
        <f>SUM(I59:I65)</f>
        <v>26.097864149999999</v>
      </c>
      <c r="J67" s="122"/>
      <c r="K67" s="121">
        <f>SUM(K59:K65)</f>
        <v>94.420271896000003</v>
      </c>
      <c r="L67" s="122">
        <f>K67/I67-1</f>
        <v>2.6179310058980443</v>
      </c>
      <c r="M67" s="214">
        <f>SUM(M59:M65)</f>
        <v>95.46235734039999</v>
      </c>
      <c r="N67" s="215">
        <f>M67/K67-1</f>
        <v>1.1036670658476799E-2</v>
      </c>
      <c r="O67" s="214">
        <f>SUM(O59:O65)</f>
        <v>94.851307780203001</v>
      </c>
      <c r="P67" s="215">
        <f>O67/M67-1</f>
        <v>-6.4009477371075318E-3</v>
      </c>
    </row>
    <row r="68" spans="2:16" s="31" customFormat="1" ht="19.45" customHeight="1">
      <c r="E68" s="216"/>
      <c r="F68" s="255"/>
      <c r="G68" s="30"/>
      <c r="I68" s="30"/>
      <c r="J68" s="123"/>
      <c r="K68" s="30"/>
      <c r="L68" s="123"/>
      <c r="M68" s="216"/>
      <c r="N68" s="217"/>
      <c r="O68" s="216"/>
      <c r="P68" s="217"/>
    </row>
    <row r="69" spans="2:16" s="31" customFormat="1" ht="19.45" customHeight="1">
      <c r="B69" s="124" t="s">
        <v>99</v>
      </c>
      <c r="C69" s="124"/>
      <c r="D69" s="124"/>
      <c r="E69" s="218">
        <f>E57+E67</f>
        <v>10</v>
      </c>
      <c r="F69" s="256"/>
      <c r="G69" s="125">
        <f>G57+G67</f>
        <v>322.62109999999996</v>
      </c>
      <c r="H69" s="126">
        <f>G69/E69-1</f>
        <v>31.262109999999993</v>
      </c>
      <c r="I69" s="125">
        <f>I57+I67</f>
        <v>508.43388774999994</v>
      </c>
      <c r="J69" s="126">
        <f>I69/G69-1</f>
        <v>0.57594741246000347</v>
      </c>
      <c r="K69" s="125">
        <f>K57+K67</f>
        <v>652.84139348099995</v>
      </c>
      <c r="L69" s="126">
        <f>K69/I69-1</f>
        <v>0.28402415576596285</v>
      </c>
      <c r="M69" s="218">
        <f>M57+M67</f>
        <v>678.52971671291994</v>
      </c>
      <c r="N69" s="219">
        <f>M69/K69-1</f>
        <v>3.9348490289422111E-2</v>
      </c>
      <c r="O69" s="218">
        <f>O57+O67</f>
        <v>705.3209225722004</v>
      </c>
      <c r="P69" s="219">
        <f>O69/M69-1</f>
        <v>3.9484204154046854E-2</v>
      </c>
    </row>
  </sheetData>
  <pageMargins left="0.19685039370078741" right="0.19685039370078741" top="0.39370078740157483" bottom="0.39370078740157483" header="0.19685039370078741" footer="0"/>
  <pageSetup paperSize="9" scale="57" orientation="landscape" r:id="rId1"/>
  <headerFooter alignWithMargins="0"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266E9-3592-4110-9FAA-6EEBEEECEA38}">
  <sheetPr>
    <tabColor rgb="FF92D050"/>
  </sheetPr>
  <dimension ref="A1:AG43"/>
  <sheetViews>
    <sheetView workbookViewId="0">
      <pane xSplit="3" topLeftCell="D1" activePane="topRight" state="frozen"/>
      <selection pane="topRight" activeCell="L26" sqref="L26"/>
    </sheetView>
  </sheetViews>
  <sheetFormatPr defaultRowHeight="14.4"/>
  <cols>
    <col min="1" max="1" width="48.109375" style="91" bestFit="1" customWidth="1"/>
    <col min="2" max="2" width="8.88671875" style="91"/>
    <col min="3" max="3" width="9.88671875" style="91" customWidth="1"/>
    <col min="4" max="6" width="8.88671875" style="91"/>
    <col min="7" max="7" width="10.77734375" style="91" bestFit="1" customWidth="1"/>
    <col min="8" max="12" width="8.88671875" style="91"/>
    <col min="13" max="13" width="10.77734375" style="91" bestFit="1" customWidth="1"/>
    <col min="14" max="18" width="8.88671875" style="91"/>
    <col min="19" max="19" width="10.77734375" style="91" bestFit="1" customWidth="1"/>
    <col min="20" max="24" width="8.88671875" style="91"/>
    <col min="25" max="25" width="10.77734375" style="91" bestFit="1" customWidth="1"/>
    <col min="26" max="30" width="8.88671875" style="91"/>
    <col min="31" max="31" width="10.77734375" style="91" bestFit="1" customWidth="1"/>
    <col min="32" max="16384" width="8.88671875" style="91"/>
  </cols>
  <sheetData>
    <row r="1" spans="1:33">
      <c r="C1" s="91">
        <v>25</v>
      </c>
    </row>
    <row r="2" spans="1:33">
      <c r="E2" s="91">
        <v>2026</v>
      </c>
      <c r="K2" s="91">
        <v>2027</v>
      </c>
      <c r="Q2" s="91">
        <v>2028</v>
      </c>
      <c r="W2" s="91">
        <v>2029</v>
      </c>
      <c r="AC2" s="91">
        <v>2030</v>
      </c>
    </row>
    <row r="3" spans="1:33">
      <c r="A3" s="109" t="s">
        <v>60</v>
      </c>
      <c r="B3" s="91" t="s">
        <v>51</v>
      </c>
      <c r="C3" s="91" t="s">
        <v>51</v>
      </c>
      <c r="F3" s="91" t="s">
        <v>50</v>
      </c>
      <c r="G3" s="91" t="s">
        <v>49</v>
      </c>
      <c r="H3" s="91" t="s">
        <v>48</v>
      </c>
      <c r="I3" s="109" t="s">
        <v>59</v>
      </c>
      <c r="L3" s="91" t="s">
        <v>50</v>
      </c>
      <c r="M3" s="91" t="s">
        <v>49</v>
      </c>
      <c r="N3" s="91" t="s">
        <v>48</v>
      </c>
      <c r="O3" s="109" t="s">
        <v>59</v>
      </c>
      <c r="R3" s="91" t="s">
        <v>50</v>
      </c>
      <c r="S3" s="91" t="s">
        <v>49</v>
      </c>
      <c r="T3" s="91" t="s">
        <v>48</v>
      </c>
      <c r="U3" s="109" t="s">
        <v>59</v>
      </c>
      <c r="X3" s="91" t="s">
        <v>50</v>
      </c>
      <c r="Y3" s="91" t="s">
        <v>49</v>
      </c>
      <c r="Z3" s="91" t="s">
        <v>48</v>
      </c>
      <c r="AA3" s="109" t="s">
        <v>59</v>
      </c>
      <c r="AD3" s="91" t="s">
        <v>50</v>
      </c>
      <c r="AE3" s="91" t="s">
        <v>49</v>
      </c>
      <c r="AF3" s="91" t="s">
        <v>48</v>
      </c>
      <c r="AG3" s="109" t="s">
        <v>59</v>
      </c>
    </row>
    <row r="4" spans="1:33">
      <c r="B4" s="91" t="s">
        <v>47</v>
      </c>
      <c r="C4" s="91" t="s">
        <v>46</v>
      </c>
      <c r="E4" s="91" t="s">
        <v>45</v>
      </c>
      <c r="F4" s="91">
        <v>6000</v>
      </c>
      <c r="K4" s="91" t="s">
        <v>45</v>
      </c>
      <c r="L4" s="91">
        <v>10500</v>
      </c>
      <c r="Q4" s="91" t="s">
        <v>45</v>
      </c>
      <c r="R4" s="91">
        <v>14000</v>
      </c>
      <c r="W4" s="91" t="s">
        <v>45</v>
      </c>
      <c r="X4" s="91">
        <v>16500</v>
      </c>
      <c r="AC4" s="91" t="s">
        <v>45</v>
      </c>
      <c r="AD4" s="91">
        <v>22000</v>
      </c>
    </row>
    <row r="5" spans="1:33">
      <c r="A5" s="91" t="s">
        <v>44</v>
      </c>
      <c r="B5" s="91">
        <v>65</v>
      </c>
      <c r="C5" s="93">
        <f t="shared" ref="C5:C10" si="0">B5*$C$1</f>
        <v>1625</v>
      </c>
      <c r="E5" s="94">
        <v>0</v>
      </c>
      <c r="F5" s="91">
        <f t="shared" ref="F5:F10" si="1">$F$4*E5</f>
        <v>0</v>
      </c>
      <c r="G5" s="93">
        <f t="shared" ref="G5:G10" si="2">C5*F5</f>
        <v>0</v>
      </c>
      <c r="K5" s="94">
        <v>0</v>
      </c>
      <c r="L5" s="91">
        <f>$L$4*K5</f>
        <v>0</v>
      </c>
      <c r="M5" s="93">
        <f t="shared" ref="M5" si="3">C5*L5</f>
        <v>0</v>
      </c>
      <c r="Q5" s="94">
        <v>0</v>
      </c>
      <c r="R5" s="91">
        <f>$R$4*Q5</f>
        <v>0</v>
      </c>
      <c r="S5" s="93">
        <f>C5*R5</f>
        <v>0</v>
      </c>
      <c r="W5" s="94">
        <v>0</v>
      </c>
      <c r="X5" s="91">
        <f>$X$4*W5</f>
        <v>0</v>
      </c>
      <c r="Y5" s="93">
        <f>C5*X5</f>
        <v>0</v>
      </c>
      <c r="AC5" s="94">
        <v>0</v>
      </c>
      <c r="AD5" s="91">
        <f>$AD$4*AC5</f>
        <v>0</v>
      </c>
      <c r="AE5" s="93">
        <f>C5*AD5</f>
        <v>0</v>
      </c>
    </row>
    <row r="6" spans="1:33">
      <c r="A6" s="91" t="s">
        <v>43</v>
      </c>
      <c r="B6" s="91">
        <v>90</v>
      </c>
      <c r="C6" s="93">
        <f t="shared" si="0"/>
        <v>2250</v>
      </c>
      <c r="E6" s="111">
        <v>0.71</v>
      </c>
      <c r="F6" s="108">
        <f t="shared" si="1"/>
        <v>4260</v>
      </c>
      <c r="G6" s="93">
        <f t="shared" si="2"/>
        <v>9585000</v>
      </c>
      <c r="K6" s="115">
        <v>0.59499999999999997</v>
      </c>
      <c r="L6" s="108">
        <f t="shared" ref="L6:L10" si="4">$L$4*K6</f>
        <v>6247.5</v>
      </c>
      <c r="M6" s="93">
        <f>(C6*0.99)*L6</f>
        <v>13916306.25</v>
      </c>
      <c r="Q6" s="94">
        <v>0.5</v>
      </c>
      <c r="R6" s="91">
        <f t="shared" ref="R6:R10" si="5">$R$4*Q6</f>
        <v>7000</v>
      </c>
      <c r="S6" s="93">
        <f>((C6*0.99)*0.99)*R6</f>
        <v>15436575</v>
      </c>
      <c r="W6" s="94">
        <v>0.43</v>
      </c>
      <c r="X6" s="91">
        <f t="shared" ref="X6:X10" si="6">$X$4*W6</f>
        <v>7095</v>
      </c>
      <c r="Y6" s="93">
        <f>(((C6*0.99)*0.99)*0.99)*X6</f>
        <v>15489610.661249999</v>
      </c>
      <c r="AC6" s="111">
        <v>0.375</v>
      </c>
      <c r="AD6" s="91">
        <f t="shared" ref="AD6:AD10" si="7">$AD$4*AC6</f>
        <v>8250</v>
      </c>
      <c r="AE6" s="93">
        <f>((((C6*0.99)*0.99)*0.99)*0.99)*AD6</f>
        <v>17831063.435624998</v>
      </c>
    </row>
    <row r="7" spans="1:33">
      <c r="A7" s="91" t="s">
        <v>42</v>
      </c>
      <c r="B7" s="91">
        <v>165</v>
      </c>
      <c r="C7" s="93">
        <f t="shared" si="0"/>
        <v>4125</v>
      </c>
      <c r="D7" s="264" t="s">
        <v>148</v>
      </c>
      <c r="E7" s="111">
        <v>0.04</v>
      </c>
      <c r="F7" s="91">
        <f t="shared" si="1"/>
        <v>240</v>
      </c>
      <c r="G7" s="93">
        <f t="shared" si="2"/>
        <v>990000</v>
      </c>
      <c r="K7" s="111">
        <v>0.04</v>
      </c>
      <c r="L7" s="108">
        <f t="shared" si="4"/>
        <v>420</v>
      </c>
      <c r="M7" s="93">
        <f t="shared" ref="M7:M10" si="8">(C7*0.99)*L7</f>
        <v>1715175</v>
      </c>
      <c r="Q7" s="94">
        <v>4.4999999999999998E-2</v>
      </c>
      <c r="R7" s="91">
        <f t="shared" si="5"/>
        <v>630</v>
      </c>
      <c r="S7" s="93">
        <f t="shared" ref="S7:S10" si="9">((C7*0.99)*0.99)*R7</f>
        <v>2547034.875</v>
      </c>
      <c r="W7" s="111">
        <v>0.05</v>
      </c>
      <c r="X7" s="108">
        <f t="shared" si="6"/>
        <v>825</v>
      </c>
      <c r="Y7" s="93">
        <f t="shared" ref="Y7:Y10" si="10">(((C7*0.99)*0.99)*0.99)*X7</f>
        <v>3302048.7843749998</v>
      </c>
      <c r="AC7" s="111">
        <v>0.06</v>
      </c>
      <c r="AD7" s="91">
        <f t="shared" si="7"/>
        <v>1320</v>
      </c>
      <c r="AE7" s="93">
        <f t="shared" ref="AE7:AE10" si="11">((((C7*0.99)*0.99)*0.99)*0.99)*AD7</f>
        <v>5230445.2744499994</v>
      </c>
    </row>
    <row r="8" spans="1:33">
      <c r="A8" s="91" t="s">
        <v>41</v>
      </c>
      <c r="B8" s="91">
        <v>105</v>
      </c>
      <c r="C8" s="93">
        <f t="shared" si="0"/>
        <v>2625</v>
      </c>
      <c r="D8" s="91">
        <v>25</v>
      </c>
      <c r="E8" s="111">
        <v>0.25</v>
      </c>
      <c r="F8" s="91">
        <f t="shared" si="1"/>
        <v>1500</v>
      </c>
      <c r="G8" s="93">
        <f t="shared" si="2"/>
        <v>3937500</v>
      </c>
      <c r="K8" s="94">
        <v>0.33</v>
      </c>
      <c r="L8" s="91">
        <f t="shared" si="4"/>
        <v>3465</v>
      </c>
      <c r="M8" s="93">
        <f t="shared" si="8"/>
        <v>9004668.75</v>
      </c>
      <c r="Q8" s="94">
        <v>0.39</v>
      </c>
      <c r="R8" s="91">
        <f t="shared" si="5"/>
        <v>5460</v>
      </c>
      <c r="S8" s="93">
        <f t="shared" si="9"/>
        <v>14047283.249999998</v>
      </c>
      <c r="W8" s="94">
        <v>0.45</v>
      </c>
      <c r="X8" s="91">
        <f t="shared" si="6"/>
        <v>7425</v>
      </c>
      <c r="Y8" s="93">
        <f t="shared" si="10"/>
        <v>18911733.946874999</v>
      </c>
      <c r="AC8" s="111">
        <v>0.49</v>
      </c>
      <c r="AD8" s="91">
        <f t="shared" si="7"/>
        <v>10780</v>
      </c>
      <c r="AE8" s="93">
        <f t="shared" si="11"/>
        <v>27182465.592974998</v>
      </c>
    </row>
    <row r="9" spans="1:33">
      <c r="A9" s="91" t="s">
        <v>40</v>
      </c>
      <c r="B9" s="91">
        <v>450</v>
      </c>
      <c r="C9" s="93">
        <f t="shared" si="0"/>
        <v>11250</v>
      </c>
      <c r="E9" s="111">
        <v>0</v>
      </c>
      <c r="F9" s="108">
        <f t="shared" si="1"/>
        <v>0</v>
      </c>
      <c r="G9" s="93">
        <f t="shared" si="2"/>
        <v>0</v>
      </c>
      <c r="K9" s="111">
        <v>2.5000000000000001E-2</v>
      </c>
      <c r="L9" s="91">
        <f t="shared" si="4"/>
        <v>262.5</v>
      </c>
      <c r="M9" s="93">
        <f t="shared" si="8"/>
        <v>2923593.75</v>
      </c>
      <c r="Q9" s="111">
        <v>3.5000000000000003E-2</v>
      </c>
      <c r="R9" s="108">
        <f t="shared" si="5"/>
        <v>490.00000000000006</v>
      </c>
      <c r="S9" s="93">
        <f t="shared" si="9"/>
        <v>5402801.2500000009</v>
      </c>
      <c r="W9" s="111">
        <v>0.04</v>
      </c>
      <c r="X9" s="108">
        <f t="shared" si="6"/>
        <v>660</v>
      </c>
      <c r="Y9" s="93">
        <f t="shared" si="10"/>
        <v>7204470.0750000002</v>
      </c>
      <c r="AC9" s="111">
        <v>4.4999999999999998E-2</v>
      </c>
      <c r="AD9" s="91">
        <f t="shared" si="7"/>
        <v>990</v>
      </c>
      <c r="AE9" s="93">
        <f t="shared" si="11"/>
        <v>10698638.061375</v>
      </c>
    </row>
    <row r="10" spans="1:33">
      <c r="A10" s="91" t="s">
        <v>39</v>
      </c>
      <c r="B10" s="91">
        <v>550</v>
      </c>
      <c r="C10" s="93">
        <f t="shared" si="0"/>
        <v>13750</v>
      </c>
      <c r="E10" s="111">
        <v>0</v>
      </c>
      <c r="F10" s="91">
        <f t="shared" si="1"/>
        <v>0</v>
      </c>
      <c r="G10" s="93">
        <f t="shared" si="2"/>
        <v>0</v>
      </c>
      <c r="K10" s="111">
        <v>0.01</v>
      </c>
      <c r="L10" s="91">
        <f t="shared" si="4"/>
        <v>105</v>
      </c>
      <c r="M10" s="93">
        <f t="shared" si="8"/>
        <v>1429312.5</v>
      </c>
      <c r="Q10" s="111">
        <v>2.5000000000000001E-2</v>
      </c>
      <c r="R10" s="108">
        <f t="shared" si="5"/>
        <v>350</v>
      </c>
      <c r="S10" s="93">
        <f t="shared" si="9"/>
        <v>4716731.25</v>
      </c>
      <c r="W10" s="111">
        <v>0.03</v>
      </c>
      <c r="X10" s="91">
        <f t="shared" si="6"/>
        <v>495</v>
      </c>
      <c r="Y10" s="93">
        <f t="shared" si="10"/>
        <v>6604097.5687499996</v>
      </c>
      <c r="AC10" s="111">
        <v>0.03</v>
      </c>
      <c r="AD10" s="91">
        <f t="shared" si="7"/>
        <v>660</v>
      </c>
      <c r="AE10" s="93">
        <f t="shared" si="11"/>
        <v>8717408.7907499988</v>
      </c>
    </row>
    <row r="11" spans="1:33">
      <c r="C11" s="92"/>
      <c r="E11" s="111">
        <f>SUM(E5:E10)</f>
        <v>1</v>
      </c>
      <c r="G11" s="93">
        <f>SUM(G5:G10)</f>
        <v>14512500</v>
      </c>
      <c r="H11" s="93">
        <f>G11/F4</f>
        <v>2418.75</v>
      </c>
      <c r="I11" s="108">
        <f>H11/C1</f>
        <v>96.75</v>
      </c>
      <c r="K11" s="111">
        <f>SUM(K5:K10)</f>
        <v>1</v>
      </c>
      <c r="M11" s="93">
        <f>SUM(M5:M10)</f>
        <v>28989056.25</v>
      </c>
      <c r="N11" s="93">
        <f>M11/L4</f>
        <v>2760.8625000000002</v>
      </c>
      <c r="O11" s="108">
        <f>N11/$C$1</f>
        <v>110.43450000000001</v>
      </c>
      <c r="Q11" s="94">
        <f>SUM(Q5:Q10)</f>
        <v>0.99500000000000011</v>
      </c>
      <c r="S11" s="93">
        <f>SUM(S5:S10)</f>
        <v>42150425.625</v>
      </c>
      <c r="T11" s="93">
        <f>S11/R4</f>
        <v>3010.7446875000001</v>
      </c>
      <c r="U11" s="108">
        <f>T11/$C$1</f>
        <v>120.4297875</v>
      </c>
      <c r="W11" s="94">
        <f>SUM(W5:W10)</f>
        <v>1</v>
      </c>
      <c r="Y11" s="93">
        <f>SUM(Y5:Y10)</f>
        <v>51511961.036250003</v>
      </c>
      <c r="Z11" s="93">
        <f>Y11/X4</f>
        <v>3121.9370325</v>
      </c>
      <c r="AA11" s="108">
        <f>Z11/$C$1</f>
        <v>124.8774813</v>
      </c>
      <c r="AC11" s="94">
        <f>SUM(AC5:AC10)</f>
        <v>1</v>
      </c>
      <c r="AE11" s="93">
        <f>SUM(AE5:AE10)</f>
        <v>69660021.155175</v>
      </c>
      <c r="AF11" s="93">
        <f>AE11/AD4</f>
        <v>3166.3645979624998</v>
      </c>
      <c r="AG11" s="108">
        <f>AF11/$C$1</f>
        <v>126.65458391849999</v>
      </c>
    </row>
    <row r="13" spans="1:33">
      <c r="D13" s="270" t="s">
        <v>157</v>
      </c>
    </row>
    <row r="14" spans="1:33">
      <c r="A14" s="91" t="s">
        <v>38</v>
      </c>
      <c r="D14" s="94">
        <v>0.1</v>
      </c>
      <c r="E14" s="91" t="s">
        <v>45</v>
      </c>
      <c r="F14" s="91">
        <v>0</v>
      </c>
      <c r="K14" s="91" t="s">
        <v>45</v>
      </c>
      <c r="L14" s="93">
        <f>L4*D14</f>
        <v>1050</v>
      </c>
      <c r="Q14" s="91" t="s">
        <v>45</v>
      </c>
      <c r="R14" s="93">
        <f>R4*D14</f>
        <v>1400</v>
      </c>
      <c r="W14" s="91" t="s">
        <v>45</v>
      </c>
      <c r="X14" s="93">
        <f>X4*D14</f>
        <v>1650</v>
      </c>
      <c r="AC14" s="91" t="s">
        <v>45</v>
      </c>
      <c r="AD14" s="93">
        <f>AD4*D14</f>
        <v>2200</v>
      </c>
    </row>
    <row r="15" spans="1:33">
      <c r="A15" s="91" t="s">
        <v>37</v>
      </c>
      <c r="B15" s="91">
        <v>95</v>
      </c>
      <c r="C15" s="93">
        <f t="shared" ref="C15:C20" si="12">B15*$C$1</f>
        <v>2375</v>
      </c>
      <c r="E15" s="94">
        <v>0</v>
      </c>
      <c r="F15" s="91">
        <f t="shared" ref="F15:F20" si="13">$F$14*E15</f>
        <v>0</v>
      </c>
      <c r="G15" s="93">
        <f t="shared" ref="G15:G20" si="14">C15*F15</f>
        <v>0</v>
      </c>
      <c r="K15" s="94">
        <v>0</v>
      </c>
      <c r="L15" s="91">
        <f t="shared" ref="L15:L20" si="15">$L$14*K15</f>
        <v>0</v>
      </c>
      <c r="M15" s="93">
        <f t="shared" ref="M15" si="16">C15*L15</f>
        <v>0</v>
      </c>
      <c r="Q15" s="94">
        <v>0</v>
      </c>
      <c r="R15" s="91">
        <f t="shared" ref="R15:R20" si="17">$R$14*Q15</f>
        <v>0</v>
      </c>
      <c r="S15" s="93">
        <f>C15*R15</f>
        <v>0</v>
      </c>
      <c r="W15" s="94">
        <v>0</v>
      </c>
      <c r="X15" s="91">
        <f t="shared" ref="X15:X20" si="18">$X$14*W15</f>
        <v>0</v>
      </c>
      <c r="Y15" s="93">
        <f>C15*X15</f>
        <v>0</v>
      </c>
      <c r="AC15" s="94">
        <v>0</v>
      </c>
      <c r="AD15" s="91">
        <f t="shared" ref="AD15:AD20" si="19">$AD$14*AC15</f>
        <v>0</v>
      </c>
      <c r="AE15" s="93">
        <f>C15*AD15</f>
        <v>0</v>
      </c>
    </row>
    <row r="16" spans="1:33">
      <c r="A16" s="91" t="s">
        <v>36</v>
      </c>
      <c r="B16" s="91">
        <v>100</v>
      </c>
      <c r="C16" s="93">
        <f t="shared" si="12"/>
        <v>2500</v>
      </c>
      <c r="E16" s="94">
        <v>0</v>
      </c>
      <c r="F16" s="108">
        <f t="shared" si="13"/>
        <v>0</v>
      </c>
      <c r="G16" s="93">
        <f t="shared" si="14"/>
        <v>0</v>
      </c>
      <c r="K16" s="115">
        <v>0.59499999999999997</v>
      </c>
      <c r="L16" s="108">
        <f t="shared" si="15"/>
        <v>624.75</v>
      </c>
      <c r="M16" s="93">
        <f>(C16*0.99)*L16</f>
        <v>1546256.25</v>
      </c>
      <c r="Q16" s="94">
        <v>0.5</v>
      </c>
      <c r="R16" s="91">
        <f t="shared" si="17"/>
        <v>700</v>
      </c>
      <c r="S16" s="93">
        <f>((C16*0.99)*0.99)*R16</f>
        <v>1715175</v>
      </c>
      <c r="W16" s="94">
        <v>0.43</v>
      </c>
      <c r="X16" s="91">
        <f t="shared" si="18"/>
        <v>709.5</v>
      </c>
      <c r="Y16" s="93">
        <f>(((C16*0.99)*0.99)*0.99)*X16</f>
        <v>1721067.8512500001</v>
      </c>
      <c r="AC16" s="111">
        <v>0.375</v>
      </c>
      <c r="AD16" s="91">
        <f t="shared" si="19"/>
        <v>825</v>
      </c>
      <c r="AE16" s="93">
        <f>((((C16*0.99)*0.99)*0.99)*0.99)*AD16</f>
        <v>1981229.2706250001</v>
      </c>
    </row>
    <row r="17" spans="1:33">
      <c r="A17" s="91" t="s">
        <v>35</v>
      </c>
      <c r="B17" s="91">
        <v>200</v>
      </c>
      <c r="C17" s="93">
        <f t="shared" si="12"/>
        <v>5000</v>
      </c>
      <c r="E17" s="94">
        <v>0</v>
      </c>
      <c r="F17" s="91">
        <f t="shared" si="13"/>
        <v>0</v>
      </c>
      <c r="G17" s="93">
        <f t="shared" si="14"/>
        <v>0</v>
      </c>
      <c r="K17" s="111">
        <v>0.04</v>
      </c>
      <c r="L17" s="108">
        <f t="shared" si="15"/>
        <v>42</v>
      </c>
      <c r="M17" s="93">
        <f t="shared" ref="M17:M20" si="20">(C17*0.99)*L17</f>
        <v>207900</v>
      </c>
      <c r="Q17" s="94">
        <v>4.4999999999999998E-2</v>
      </c>
      <c r="R17" s="91">
        <f t="shared" si="17"/>
        <v>63</v>
      </c>
      <c r="S17" s="93">
        <f t="shared" ref="S17:S20" si="21">((C17*0.99)*0.99)*R17</f>
        <v>308731.5</v>
      </c>
      <c r="W17" s="111">
        <v>0.05</v>
      </c>
      <c r="X17" s="108">
        <f t="shared" si="18"/>
        <v>82.5</v>
      </c>
      <c r="Y17" s="93">
        <f t="shared" ref="Y17:Y20" si="22">(((C17*0.99)*0.99)*0.99)*X17</f>
        <v>400248.33749999997</v>
      </c>
      <c r="AC17" s="111">
        <v>0.06</v>
      </c>
      <c r="AD17" s="91">
        <f t="shared" si="19"/>
        <v>132</v>
      </c>
      <c r="AE17" s="93">
        <f t="shared" ref="AE17:AE20" si="23">((((C17*0.99)*0.99)*0.99)*0.99)*AD17</f>
        <v>633993.36660000007</v>
      </c>
    </row>
    <row r="18" spans="1:33">
      <c r="A18" s="91" t="s">
        <v>34</v>
      </c>
      <c r="B18" s="91">
        <v>120</v>
      </c>
      <c r="C18" s="93">
        <f t="shared" si="12"/>
        <v>3000</v>
      </c>
      <c r="E18" s="94">
        <v>0</v>
      </c>
      <c r="F18" s="91">
        <f t="shared" si="13"/>
        <v>0</v>
      </c>
      <c r="G18" s="93">
        <f t="shared" si="14"/>
        <v>0</v>
      </c>
      <c r="K18" s="94">
        <v>0.33</v>
      </c>
      <c r="L18" s="108">
        <f t="shared" si="15"/>
        <v>346.5</v>
      </c>
      <c r="M18" s="93">
        <f t="shared" si="20"/>
        <v>1029105</v>
      </c>
      <c r="Q18" s="94">
        <v>0.39</v>
      </c>
      <c r="R18" s="91">
        <f t="shared" si="17"/>
        <v>546</v>
      </c>
      <c r="S18" s="93">
        <f t="shared" si="21"/>
        <v>1605403.8</v>
      </c>
      <c r="W18" s="94">
        <v>0.45</v>
      </c>
      <c r="X18" s="91">
        <f t="shared" si="18"/>
        <v>742.5</v>
      </c>
      <c r="Y18" s="93">
        <f t="shared" si="22"/>
        <v>2161341.0225</v>
      </c>
      <c r="AC18" s="111">
        <v>0.49</v>
      </c>
      <c r="AD18" s="91">
        <f t="shared" si="19"/>
        <v>1078</v>
      </c>
      <c r="AE18" s="93">
        <f t="shared" si="23"/>
        <v>3106567.4963399996</v>
      </c>
    </row>
    <row r="19" spans="1:33">
      <c r="A19" s="91" t="s">
        <v>33</v>
      </c>
      <c r="B19" s="91">
        <v>500</v>
      </c>
      <c r="C19" s="93">
        <f t="shared" si="12"/>
        <v>12500</v>
      </c>
      <c r="E19" s="111">
        <v>0</v>
      </c>
      <c r="F19" s="108">
        <f t="shared" si="13"/>
        <v>0</v>
      </c>
      <c r="G19" s="93">
        <f t="shared" si="14"/>
        <v>0</v>
      </c>
      <c r="K19" s="111">
        <v>2.5000000000000001E-2</v>
      </c>
      <c r="L19" s="108">
        <f t="shared" si="15"/>
        <v>26.25</v>
      </c>
      <c r="M19" s="93">
        <f t="shared" si="20"/>
        <v>324843.75</v>
      </c>
      <c r="Q19" s="111">
        <v>3.5000000000000003E-2</v>
      </c>
      <c r="R19" s="108">
        <f t="shared" si="17"/>
        <v>49.000000000000007</v>
      </c>
      <c r="S19" s="93">
        <f t="shared" si="21"/>
        <v>600311.25000000012</v>
      </c>
      <c r="W19" s="111">
        <v>0.04</v>
      </c>
      <c r="X19" s="108">
        <f t="shared" si="18"/>
        <v>66</v>
      </c>
      <c r="Y19" s="93">
        <f t="shared" si="22"/>
        <v>800496.67499999993</v>
      </c>
      <c r="AC19" s="111">
        <v>4.4999999999999998E-2</v>
      </c>
      <c r="AD19" s="91">
        <f t="shared" si="19"/>
        <v>99</v>
      </c>
      <c r="AE19" s="93">
        <f t="shared" si="23"/>
        <v>1188737.562375</v>
      </c>
    </row>
    <row r="20" spans="1:33">
      <c r="A20" s="91" t="s">
        <v>32</v>
      </c>
      <c r="B20" s="91">
        <v>600</v>
      </c>
      <c r="C20" s="93">
        <f t="shared" si="12"/>
        <v>15000</v>
      </c>
      <c r="E20" s="111">
        <v>0</v>
      </c>
      <c r="F20" s="91">
        <f t="shared" si="13"/>
        <v>0</v>
      </c>
      <c r="G20" s="93">
        <f t="shared" si="14"/>
        <v>0</v>
      </c>
      <c r="K20" s="111">
        <v>0.01</v>
      </c>
      <c r="L20" s="91">
        <f t="shared" si="15"/>
        <v>10.5</v>
      </c>
      <c r="M20" s="93">
        <f t="shared" si="20"/>
        <v>155925</v>
      </c>
      <c r="Q20" s="111">
        <v>2.5000000000000001E-2</v>
      </c>
      <c r="R20" s="108">
        <f t="shared" si="17"/>
        <v>35</v>
      </c>
      <c r="S20" s="93">
        <f t="shared" si="21"/>
        <v>514552.5</v>
      </c>
      <c r="W20" s="111">
        <v>0.03</v>
      </c>
      <c r="X20" s="91">
        <f t="shared" si="18"/>
        <v>49.5</v>
      </c>
      <c r="Y20" s="93">
        <f t="shared" si="22"/>
        <v>720447.00750000007</v>
      </c>
      <c r="AC20" s="111">
        <v>0.03</v>
      </c>
      <c r="AD20" s="91">
        <f t="shared" si="19"/>
        <v>66</v>
      </c>
      <c r="AE20" s="93">
        <f t="shared" si="23"/>
        <v>950990.04989999998</v>
      </c>
    </row>
    <row r="21" spans="1:33">
      <c r="E21" s="111">
        <f>SUM(E15:E20)</f>
        <v>0</v>
      </c>
      <c r="G21" s="93">
        <f>SUM(G15:G20)</f>
        <v>0</v>
      </c>
      <c r="H21" s="93" t="e">
        <f>G21/F14</f>
        <v>#DIV/0!</v>
      </c>
      <c r="I21" s="108" t="e">
        <f>H21/C10</f>
        <v>#DIV/0!</v>
      </c>
      <c r="K21" s="111">
        <f>SUM(K15:K20)</f>
        <v>1</v>
      </c>
      <c r="M21" s="93">
        <f>SUM(M15:M20)</f>
        <v>3264030</v>
      </c>
      <c r="N21" s="93">
        <f>M21/L14</f>
        <v>3108.6</v>
      </c>
      <c r="O21" s="108">
        <f>N21/$C$1</f>
        <v>124.34399999999999</v>
      </c>
      <c r="Q21" s="94">
        <f>SUM(Q15:Q20)</f>
        <v>0.99500000000000011</v>
      </c>
      <c r="S21" s="93">
        <f>SUM(S15:S20)</f>
        <v>4744174.05</v>
      </c>
      <c r="T21" s="93">
        <f>S21/R14</f>
        <v>3388.6957499999999</v>
      </c>
      <c r="U21" s="93">
        <f>T21/$C$1</f>
        <v>135.54783</v>
      </c>
      <c r="W21" s="94">
        <f>SUM(W15:W20)</f>
        <v>1</v>
      </c>
      <c r="Y21" s="93">
        <f>SUM(Y15:Y20)</f>
        <v>5803600.8937499998</v>
      </c>
      <c r="Z21" s="93">
        <f>Y21/X14</f>
        <v>3517.3338749999998</v>
      </c>
      <c r="AA21" s="93">
        <f>Z21/$C$1</f>
        <v>140.693355</v>
      </c>
      <c r="AC21" s="94">
        <f>SUM(AC15:AC20)</f>
        <v>1</v>
      </c>
      <c r="AE21" s="93">
        <f>SUM(AE15:AE20)</f>
        <v>7861517.7458399991</v>
      </c>
      <c r="AF21" s="93">
        <f>AE21/AD14</f>
        <v>3573.4171571999996</v>
      </c>
      <c r="AG21" s="93">
        <f>AF21/$C$1</f>
        <v>142.93668628799998</v>
      </c>
    </row>
    <row r="23" spans="1:33">
      <c r="A23" s="109" t="s">
        <v>61</v>
      </c>
      <c r="D23" s="266" t="s">
        <v>106</v>
      </c>
      <c r="E23" s="265" t="s">
        <v>71</v>
      </c>
      <c r="H23" s="267" t="s">
        <v>58</v>
      </c>
      <c r="N23" s="113">
        <f>L10/(L9+L10)</f>
        <v>0.2857142857142857</v>
      </c>
      <c r="T23" s="113">
        <f>R10/(R9+R10)</f>
        <v>0.41666666666666669</v>
      </c>
      <c r="Z23" s="113">
        <f>X10/(X9+X10)</f>
        <v>0.42857142857142855</v>
      </c>
      <c r="AC23" s="112" t="s">
        <v>64</v>
      </c>
    </row>
    <row r="24" spans="1:33">
      <c r="A24" s="109" t="s">
        <v>62</v>
      </c>
      <c r="E24" s="112" t="s">
        <v>63</v>
      </c>
      <c r="W24" s="116" t="s">
        <v>69</v>
      </c>
      <c r="AC24" s="112" t="s">
        <v>65</v>
      </c>
    </row>
    <row r="25" spans="1:33">
      <c r="E25" s="266" t="s">
        <v>154</v>
      </c>
      <c r="AC25" s="114" t="s">
        <v>67</v>
      </c>
      <c r="AD25" s="113">
        <f>(AD9+AD10)/6000</f>
        <v>0.27500000000000002</v>
      </c>
    </row>
    <row r="26" spans="1:33">
      <c r="E26" s="114" t="s">
        <v>66</v>
      </c>
      <c r="AC26" s="91">
        <v>2030</v>
      </c>
      <c r="AD26" s="117" t="s">
        <v>72</v>
      </c>
    </row>
    <row r="27" spans="1:33">
      <c r="M27" s="265" t="s">
        <v>149</v>
      </c>
      <c r="AC27" s="117" t="s">
        <v>74</v>
      </c>
      <c r="AD27" s="117" t="s">
        <v>73</v>
      </c>
    </row>
    <row r="28" spans="1:33">
      <c r="E28" s="261" t="s">
        <v>70</v>
      </c>
      <c r="M28" s="265" t="s">
        <v>150</v>
      </c>
    </row>
    <row r="29" spans="1:33">
      <c r="M29" s="265" t="s">
        <v>151</v>
      </c>
      <c r="AC29" s="117" t="s">
        <v>75</v>
      </c>
    </row>
    <row r="30" spans="1:33">
      <c r="M30" s="265" t="s">
        <v>152</v>
      </c>
    </row>
    <row r="31" spans="1:33">
      <c r="E31" s="117" t="s">
        <v>81</v>
      </c>
      <c r="M31" s="265" t="s">
        <v>153</v>
      </c>
      <c r="AC31" s="117" t="s">
        <v>76</v>
      </c>
    </row>
    <row r="32" spans="1:33">
      <c r="E32" s="260" t="s">
        <v>145</v>
      </c>
      <c r="AC32" s="117" t="s">
        <v>84</v>
      </c>
    </row>
    <row r="33" spans="5:29">
      <c r="E33" s="117" t="s">
        <v>82</v>
      </c>
      <c r="AC33" s="117" t="s">
        <v>77</v>
      </c>
    </row>
    <row r="34" spans="5:29">
      <c r="E34" s="262" t="s">
        <v>146</v>
      </c>
      <c r="AC34" s="117" t="s">
        <v>79</v>
      </c>
    </row>
    <row r="35" spans="5:29">
      <c r="E35" s="117" t="s">
        <v>83</v>
      </c>
      <c r="AC35" s="117" t="s">
        <v>80</v>
      </c>
    </row>
    <row r="36" spans="5:29">
      <c r="E36" s="117"/>
      <c r="AC36" s="117" t="s">
        <v>78</v>
      </c>
    </row>
    <row r="37" spans="5:29">
      <c r="AC37" s="117"/>
    </row>
    <row r="39" spans="5:29">
      <c r="E39" s="258" t="s">
        <v>139</v>
      </c>
    </row>
    <row r="40" spans="5:29">
      <c r="E40" s="259" t="s">
        <v>140</v>
      </c>
    </row>
    <row r="41" spans="5:29">
      <c r="E41" s="259" t="s">
        <v>141</v>
      </c>
    </row>
    <row r="43" spans="5:29">
      <c r="E43" s="263" t="s">
        <v>147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C9C85-CD4E-430D-BCBC-FA4E2AE01D2E}">
  <sheetPr>
    <tabColor rgb="FF92D050"/>
  </sheetPr>
  <dimension ref="A1:O21"/>
  <sheetViews>
    <sheetView workbookViewId="0">
      <selection activeCell="H8" sqref="H8"/>
    </sheetView>
  </sheetViews>
  <sheetFormatPr defaultRowHeight="14.4"/>
  <cols>
    <col min="1" max="1" width="20.44140625" customWidth="1"/>
    <col min="2" max="2" width="10.5546875" bestFit="1" customWidth="1"/>
    <col min="3" max="3" width="9.6640625" bestFit="1" customWidth="1"/>
    <col min="4" max="4" width="12.5546875" customWidth="1"/>
    <col min="5" max="5" width="10.5546875" customWidth="1"/>
    <col min="6" max="6" width="14.77734375" bestFit="1" customWidth="1"/>
    <col min="7" max="7" width="12.33203125" customWidth="1"/>
    <col min="8" max="8" width="13.6640625" customWidth="1"/>
    <col min="9" max="9" width="15" customWidth="1"/>
    <col min="10" max="10" width="12.88671875" bestFit="1" customWidth="1"/>
    <col min="11" max="11" width="13.6640625" customWidth="1"/>
    <col min="12" max="12" width="12.88671875" bestFit="1" customWidth="1"/>
    <col min="13" max="13" width="13.33203125" customWidth="1"/>
    <col min="14" max="14" width="12.88671875" bestFit="1" customWidth="1"/>
    <col min="15" max="15" width="13.33203125" customWidth="1"/>
  </cols>
  <sheetData>
    <row r="1" spans="1:15">
      <c r="A1" s="118" t="s">
        <v>85</v>
      </c>
    </row>
    <row r="2" spans="1:15" ht="15" thickBot="1">
      <c r="A2" s="118" t="s">
        <v>106</v>
      </c>
      <c r="C2" s="2" t="s">
        <v>54</v>
      </c>
    </row>
    <row r="3" spans="1:15">
      <c r="A3" s="4" t="s">
        <v>52</v>
      </c>
      <c r="B3" s="5"/>
      <c r="C3" s="96">
        <f>'P&amp;L market units'!D35</f>
        <v>25</v>
      </c>
      <c r="D3" s="6" t="s">
        <v>1</v>
      </c>
      <c r="E3" s="7"/>
      <c r="F3" s="8" t="s">
        <v>1</v>
      </c>
      <c r="G3" s="9"/>
      <c r="H3" s="8" t="s">
        <v>1</v>
      </c>
      <c r="I3" s="9"/>
      <c r="J3" s="8" t="s">
        <v>1</v>
      </c>
      <c r="K3" s="9"/>
      <c r="L3" s="8" t="s">
        <v>1</v>
      </c>
      <c r="M3" s="6"/>
      <c r="N3" s="8" t="s">
        <v>1</v>
      </c>
      <c r="O3" s="10"/>
    </row>
    <row r="4" spans="1:15" ht="15" thickBot="1">
      <c r="A4" s="11"/>
      <c r="B4" s="12" t="s">
        <v>89</v>
      </c>
      <c r="C4" s="97"/>
      <c r="D4" s="13">
        <v>2025</v>
      </c>
      <c r="E4" s="14"/>
      <c r="F4" s="15">
        <v>2026</v>
      </c>
      <c r="G4" s="16"/>
      <c r="H4" s="15">
        <v>2027</v>
      </c>
      <c r="I4" s="16"/>
      <c r="J4" s="15">
        <v>2028</v>
      </c>
      <c r="K4" s="16"/>
      <c r="L4" s="15">
        <v>2029</v>
      </c>
      <c r="M4" s="95"/>
      <c r="N4" s="15">
        <v>2030</v>
      </c>
      <c r="O4" s="17"/>
    </row>
    <row r="5" spans="1:15" ht="15" thickTop="1"/>
    <row r="6" spans="1:15">
      <c r="A6" t="s">
        <v>86</v>
      </c>
      <c r="B6">
        <f>30000</f>
        <v>30000</v>
      </c>
      <c r="C6">
        <f>B6/C3</f>
        <v>1200</v>
      </c>
      <c r="D6" s="107">
        <v>0</v>
      </c>
      <c r="F6" s="107">
        <f>ROUND(C6/36*12,0)/1000</f>
        <v>0.4</v>
      </c>
      <c r="H6" s="107">
        <f>ROUND(C6/36*12,0)/1000</f>
        <v>0.4</v>
      </c>
      <c r="J6" s="107">
        <f>ROUND(C6/36*12,0)/1000+ROUND(C6/36*6,0)/1000</f>
        <v>0.60000000000000009</v>
      </c>
      <c r="L6" s="107">
        <f>ROUND(C6/36*12,0)/1000</f>
        <v>0.4</v>
      </c>
      <c r="N6" s="107">
        <f>ROUND(C6/36*12,0)/1000</f>
        <v>0.4</v>
      </c>
    </row>
    <row r="7" spans="1:15">
      <c r="A7" t="s">
        <v>88</v>
      </c>
      <c r="B7">
        <f>25000</f>
        <v>25000</v>
      </c>
      <c r="C7">
        <f>B7/C3</f>
        <v>1000</v>
      </c>
      <c r="D7" s="107">
        <v>0</v>
      </c>
      <c r="F7" s="107">
        <f>ROUND(C7/36*12,0)/1000</f>
        <v>0.33300000000000002</v>
      </c>
      <c r="H7" s="107">
        <f>ROUND(C7/36*12,0)/1000</f>
        <v>0.33300000000000002</v>
      </c>
      <c r="J7" s="107">
        <f>ROUND(C7/36*12,0)/1000+ROUND(C7/36*6,0)/1000</f>
        <v>0.5</v>
      </c>
      <c r="L7" s="107">
        <f>ROUND(C7/36*12,0)/1000</f>
        <v>0.33300000000000002</v>
      </c>
      <c r="N7" s="107">
        <f>ROUND(C7/36*12,0)/1000</f>
        <v>0.33300000000000002</v>
      </c>
    </row>
    <row r="8" spans="1:15">
      <c r="A8" t="s">
        <v>87</v>
      </c>
      <c r="B8">
        <f>1250000</f>
        <v>1250000</v>
      </c>
      <c r="C8">
        <f>B8/C3</f>
        <v>50000</v>
      </c>
      <c r="F8" s="90">
        <f>ROUND(C8/36*12,0)/1000</f>
        <v>16.667000000000002</v>
      </c>
      <c r="H8" s="90">
        <f>ROUND(C8*2/36*12,0)/1000</f>
        <v>33.332999999999998</v>
      </c>
      <c r="J8" s="90">
        <f>ROUND(C8*2/36*12,0)/1000</f>
        <v>33.332999999999998</v>
      </c>
      <c r="L8" s="90">
        <f>ROUND(C8*2/36*12,0)/1000</f>
        <v>33.332999999999998</v>
      </c>
      <c r="N8" s="90">
        <f>ROUND(C8*2/36*12,0)/1000</f>
        <v>33.332999999999998</v>
      </c>
    </row>
    <row r="10" spans="1:15">
      <c r="A10" t="s">
        <v>90</v>
      </c>
      <c r="D10" s="119">
        <f>SUM(D6:D9)</f>
        <v>0</v>
      </c>
      <c r="F10" s="119">
        <f>SUM(F6:F9)</f>
        <v>17.400000000000002</v>
      </c>
      <c r="H10" s="119">
        <f>SUM(H6:H9)</f>
        <v>34.065999999999995</v>
      </c>
      <c r="J10" s="119">
        <f>SUM(J6:J9)</f>
        <v>34.433</v>
      </c>
      <c r="L10" s="119">
        <f>SUM(L6:L9)</f>
        <v>34.065999999999995</v>
      </c>
      <c r="N10" s="119">
        <f>SUM(N6:N9)</f>
        <v>34.065999999999995</v>
      </c>
    </row>
    <row r="13" spans="1:15" ht="15" thickBot="1">
      <c r="A13" s="118" t="s">
        <v>107</v>
      </c>
      <c r="C13" s="2" t="s">
        <v>54</v>
      </c>
    </row>
    <row r="14" spans="1:15">
      <c r="A14" s="4" t="s">
        <v>52</v>
      </c>
      <c r="B14" s="5"/>
      <c r="C14" s="96">
        <f>C3</f>
        <v>25</v>
      </c>
      <c r="D14" s="6" t="s">
        <v>1</v>
      </c>
      <c r="E14" s="7"/>
      <c r="F14" s="8" t="s">
        <v>1</v>
      </c>
      <c r="G14" s="9"/>
      <c r="H14" s="8" t="s">
        <v>1</v>
      </c>
      <c r="I14" s="9"/>
      <c r="J14" s="8" t="s">
        <v>1</v>
      </c>
      <c r="K14" s="9"/>
      <c r="L14" s="8" t="s">
        <v>1</v>
      </c>
      <c r="M14" s="6"/>
      <c r="N14" s="8" t="s">
        <v>1</v>
      </c>
      <c r="O14" s="10"/>
    </row>
    <row r="15" spans="1:15" ht="15" thickBot="1">
      <c r="A15" s="11"/>
      <c r="B15" s="12" t="s">
        <v>89</v>
      </c>
      <c r="C15" s="97"/>
      <c r="D15" s="13">
        <v>2025</v>
      </c>
      <c r="E15" s="14"/>
      <c r="F15" s="15">
        <v>2026</v>
      </c>
      <c r="G15" s="16"/>
      <c r="H15" s="15">
        <v>2027</v>
      </c>
      <c r="I15" s="16"/>
      <c r="J15" s="15">
        <v>2028</v>
      </c>
      <c r="K15" s="16"/>
      <c r="L15" s="15">
        <v>2029</v>
      </c>
      <c r="M15" s="95"/>
      <c r="N15" s="15">
        <v>2030</v>
      </c>
      <c r="O15" s="17"/>
    </row>
    <row r="16" spans="1:15" ht="15" thickTop="1"/>
    <row r="17" spans="1:14">
      <c r="A17" t="s">
        <v>86</v>
      </c>
      <c r="C17">
        <f>30000/C14</f>
        <v>1200</v>
      </c>
      <c r="D17" s="107"/>
      <c r="F17" s="107"/>
      <c r="H17" s="107">
        <f>ROUND(C17/36*2,0)/1000</f>
        <v>6.7000000000000004E-2</v>
      </c>
      <c r="J17" s="107">
        <f>ROUND(C17/36*2,0)/1000</f>
        <v>6.7000000000000004E-2</v>
      </c>
      <c r="L17" s="107">
        <f>ROUND(C17/36*2,0)/1000</f>
        <v>6.7000000000000004E-2</v>
      </c>
    </row>
    <row r="18" spans="1:14">
      <c r="A18" t="s">
        <v>88</v>
      </c>
      <c r="C18">
        <f>25000/C14</f>
        <v>1000</v>
      </c>
      <c r="D18" s="107"/>
      <c r="H18" s="107">
        <f>ROUND(C18/36*12,0)/1000</f>
        <v>0.33300000000000002</v>
      </c>
      <c r="J18" s="107"/>
    </row>
    <row r="19" spans="1:14">
      <c r="A19" t="s">
        <v>87</v>
      </c>
      <c r="C19">
        <v>25000</v>
      </c>
      <c r="F19" s="90"/>
      <c r="H19" s="90">
        <f>ROUND(C19*2/36*12,0)/1000</f>
        <v>16.667000000000002</v>
      </c>
      <c r="J19" s="90">
        <f>ROUND(C19*2/36*12,0)/1000</f>
        <v>16.667000000000002</v>
      </c>
      <c r="L19" s="90">
        <f>ROUND(C19*2/36*12,0)/1000</f>
        <v>16.667000000000002</v>
      </c>
      <c r="N19" s="90">
        <f>ROUND(C19*2/36*12,0)/1000</f>
        <v>16.667000000000002</v>
      </c>
    </row>
    <row r="21" spans="1:14">
      <c r="A21" t="s">
        <v>90</v>
      </c>
      <c r="D21" s="119">
        <f>SUM(D17:D20)</f>
        <v>0</v>
      </c>
      <c r="F21" s="119">
        <f>SUM(F17:F20)</f>
        <v>0</v>
      </c>
      <c r="H21" s="119">
        <f>SUM(H17:H20)</f>
        <v>17.067</v>
      </c>
      <c r="J21" s="119">
        <f>SUM(J17:J20)</f>
        <v>16.734000000000002</v>
      </c>
      <c r="L21" s="119">
        <f>SUM(L17:L20)</f>
        <v>16.734000000000002</v>
      </c>
      <c r="N21" s="119">
        <f>SUM(N17:N20)</f>
        <v>16.667000000000002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35574-9048-4A8F-9DB8-9C3A2A30F92F}">
  <sheetPr>
    <tabColor rgb="FF92D050"/>
  </sheetPr>
  <dimension ref="A1:I21"/>
  <sheetViews>
    <sheetView workbookViewId="0">
      <selection activeCell="H9" sqref="H9"/>
    </sheetView>
  </sheetViews>
  <sheetFormatPr defaultRowHeight="14.4"/>
  <cols>
    <col min="1" max="1" width="27.6640625" customWidth="1"/>
    <col min="2" max="7" width="17.33203125" customWidth="1"/>
    <col min="8" max="8" width="30.44140625" customWidth="1"/>
    <col min="260" max="260" width="27.6640625" customWidth="1"/>
    <col min="261" max="263" width="17.33203125" customWidth="1"/>
    <col min="264" max="264" width="30.44140625" customWidth="1"/>
    <col min="516" max="516" width="27.6640625" customWidth="1"/>
    <col min="517" max="519" width="17.33203125" customWidth="1"/>
    <col min="520" max="520" width="30.44140625" customWidth="1"/>
    <col min="772" max="772" width="27.6640625" customWidth="1"/>
    <col min="773" max="775" width="17.33203125" customWidth="1"/>
    <col min="776" max="776" width="30.44140625" customWidth="1"/>
    <col min="1028" max="1028" width="27.6640625" customWidth="1"/>
    <col min="1029" max="1031" width="17.33203125" customWidth="1"/>
    <col min="1032" max="1032" width="30.44140625" customWidth="1"/>
    <col min="1284" max="1284" width="27.6640625" customWidth="1"/>
    <col min="1285" max="1287" width="17.33203125" customWidth="1"/>
    <col min="1288" max="1288" width="30.44140625" customWidth="1"/>
    <col min="1540" max="1540" width="27.6640625" customWidth="1"/>
    <col min="1541" max="1543" width="17.33203125" customWidth="1"/>
    <col min="1544" max="1544" width="30.44140625" customWidth="1"/>
    <col min="1796" max="1796" width="27.6640625" customWidth="1"/>
    <col min="1797" max="1799" width="17.33203125" customWidth="1"/>
    <col min="1800" max="1800" width="30.44140625" customWidth="1"/>
    <col min="2052" max="2052" width="27.6640625" customWidth="1"/>
    <col min="2053" max="2055" width="17.33203125" customWidth="1"/>
    <col min="2056" max="2056" width="30.44140625" customWidth="1"/>
    <col min="2308" max="2308" width="27.6640625" customWidth="1"/>
    <col min="2309" max="2311" width="17.33203125" customWidth="1"/>
    <col min="2312" max="2312" width="30.44140625" customWidth="1"/>
    <col min="2564" max="2564" width="27.6640625" customWidth="1"/>
    <col min="2565" max="2567" width="17.33203125" customWidth="1"/>
    <col min="2568" max="2568" width="30.44140625" customWidth="1"/>
    <col min="2820" max="2820" width="27.6640625" customWidth="1"/>
    <col min="2821" max="2823" width="17.33203125" customWidth="1"/>
    <col min="2824" max="2824" width="30.44140625" customWidth="1"/>
    <col min="3076" max="3076" width="27.6640625" customWidth="1"/>
    <col min="3077" max="3079" width="17.33203125" customWidth="1"/>
    <col min="3080" max="3080" width="30.44140625" customWidth="1"/>
    <col min="3332" max="3332" width="27.6640625" customWidth="1"/>
    <col min="3333" max="3335" width="17.33203125" customWidth="1"/>
    <col min="3336" max="3336" width="30.44140625" customWidth="1"/>
    <col min="3588" max="3588" width="27.6640625" customWidth="1"/>
    <col min="3589" max="3591" width="17.33203125" customWidth="1"/>
    <col min="3592" max="3592" width="30.44140625" customWidth="1"/>
    <col min="3844" max="3844" width="27.6640625" customWidth="1"/>
    <col min="3845" max="3847" width="17.33203125" customWidth="1"/>
    <col min="3848" max="3848" width="30.44140625" customWidth="1"/>
    <col min="4100" max="4100" width="27.6640625" customWidth="1"/>
    <col min="4101" max="4103" width="17.33203125" customWidth="1"/>
    <col min="4104" max="4104" width="30.44140625" customWidth="1"/>
    <col min="4356" max="4356" width="27.6640625" customWidth="1"/>
    <col min="4357" max="4359" width="17.33203125" customWidth="1"/>
    <col min="4360" max="4360" width="30.44140625" customWidth="1"/>
    <col min="4612" max="4612" width="27.6640625" customWidth="1"/>
    <col min="4613" max="4615" width="17.33203125" customWidth="1"/>
    <col min="4616" max="4616" width="30.44140625" customWidth="1"/>
    <col min="4868" max="4868" width="27.6640625" customWidth="1"/>
    <col min="4869" max="4871" width="17.33203125" customWidth="1"/>
    <col min="4872" max="4872" width="30.44140625" customWidth="1"/>
    <col min="5124" max="5124" width="27.6640625" customWidth="1"/>
    <col min="5125" max="5127" width="17.33203125" customWidth="1"/>
    <col min="5128" max="5128" width="30.44140625" customWidth="1"/>
    <col min="5380" max="5380" width="27.6640625" customWidth="1"/>
    <col min="5381" max="5383" width="17.33203125" customWidth="1"/>
    <col min="5384" max="5384" width="30.44140625" customWidth="1"/>
    <col min="5636" max="5636" width="27.6640625" customWidth="1"/>
    <col min="5637" max="5639" width="17.33203125" customWidth="1"/>
    <col min="5640" max="5640" width="30.44140625" customWidth="1"/>
    <col min="5892" max="5892" width="27.6640625" customWidth="1"/>
    <col min="5893" max="5895" width="17.33203125" customWidth="1"/>
    <col min="5896" max="5896" width="30.44140625" customWidth="1"/>
    <col min="6148" max="6148" width="27.6640625" customWidth="1"/>
    <col min="6149" max="6151" width="17.33203125" customWidth="1"/>
    <col min="6152" max="6152" width="30.44140625" customWidth="1"/>
    <col min="6404" max="6404" width="27.6640625" customWidth="1"/>
    <col min="6405" max="6407" width="17.33203125" customWidth="1"/>
    <col min="6408" max="6408" width="30.44140625" customWidth="1"/>
    <col min="6660" max="6660" width="27.6640625" customWidth="1"/>
    <col min="6661" max="6663" width="17.33203125" customWidth="1"/>
    <col min="6664" max="6664" width="30.44140625" customWidth="1"/>
    <col min="6916" max="6916" width="27.6640625" customWidth="1"/>
    <col min="6917" max="6919" width="17.33203125" customWidth="1"/>
    <col min="6920" max="6920" width="30.44140625" customWidth="1"/>
    <col min="7172" max="7172" width="27.6640625" customWidth="1"/>
    <col min="7173" max="7175" width="17.33203125" customWidth="1"/>
    <col min="7176" max="7176" width="30.44140625" customWidth="1"/>
    <col min="7428" max="7428" width="27.6640625" customWidth="1"/>
    <col min="7429" max="7431" width="17.33203125" customWidth="1"/>
    <col min="7432" max="7432" width="30.44140625" customWidth="1"/>
    <col min="7684" max="7684" width="27.6640625" customWidth="1"/>
    <col min="7685" max="7687" width="17.33203125" customWidth="1"/>
    <col min="7688" max="7688" width="30.44140625" customWidth="1"/>
    <col min="7940" max="7940" width="27.6640625" customWidth="1"/>
    <col min="7941" max="7943" width="17.33203125" customWidth="1"/>
    <col min="7944" max="7944" width="30.44140625" customWidth="1"/>
    <col min="8196" max="8196" width="27.6640625" customWidth="1"/>
    <col min="8197" max="8199" width="17.33203125" customWidth="1"/>
    <col min="8200" max="8200" width="30.44140625" customWidth="1"/>
    <col min="8452" max="8452" width="27.6640625" customWidth="1"/>
    <col min="8453" max="8455" width="17.33203125" customWidth="1"/>
    <col min="8456" max="8456" width="30.44140625" customWidth="1"/>
    <col min="8708" max="8708" width="27.6640625" customWidth="1"/>
    <col min="8709" max="8711" width="17.33203125" customWidth="1"/>
    <col min="8712" max="8712" width="30.44140625" customWidth="1"/>
    <col min="8964" max="8964" width="27.6640625" customWidth="1"/>
    <col min="8965" max="8967" width="17.33203125" customWidth="1"/>
    <col min="8968" max="8968" width="30.44140625" customWidth="1"/>
    <col min="9220" max="9220" width="27.6640625" customWidth="1"/>
    <col min="9221" max="9223" width="17.33203125" customWidth="1"/>
    <col min="9224" max="9224" width="30.44140625" customWidth="1"/>
    <col min="9476" max="9476" width="27.6640625" customWidth="1"/>
    <col min="9477" max="9479" width="17.33203125" customWidth="1"/>
    <col min="9480" max="9480" width="30.44140625" customWidth="1"/>
    <col min="9732" max="9732" width="27.6640625" customWidth="1"/>
    <col min="9733" max="9735" width="17.33203125" customWidth="1"/>
    <col min="9736" max="9736" width="30.44140625" customWidth="1"/>
    <col min="9988" max="9988" width="27.6640625" customWidth="1"/>
    <col min="9989" max="9991" width="17.33203125" customWidth="1"/>
    <col min="9992" max="9992" width="30.44140625" customWidth="1"/>
    <col min="10244" max="10244" width="27.6640625" customWidth="1"/>
    <col min="10245" max="10247" width="17.33203125" customWidth="1"/>
    <col min="10248" max="10248" width="30.44140625" customWidth="1"/>
    <col min="10500" max="10500" width="27.6640625" customWidth="1"/>
    <col min="10501" max="10503" width="17.33203125" customWidth="1"/>
    <col min="10504" max="10504" width="30.44140625" customWidth="1"/>
    <col min="10756" max="10756" width="27.6640625" customWidth="1"/>
    <col min="10757" max="10759" width="17.33203125" customWidth="1"/>
    <col min="10760" max="10760" width="30.44140625" customWidth="1"/>
    <col min="11012" max="11012" width="27.6640625" customWidth="1"/>
    <col min="11013" max="11015" width="17.33203125" customWidth="1"/>
    <col min="11016" max="11016" width="30.44140625" customWidth="1"/>
    <col min="11268" max="11268" width="27.6640625" customWidth="1"/>
    <col min="11269" max="11271" width="17.33203125" customWidth="1"/>
    <col min="11272" max="11272" width="30.44140625" customWidth="1"/>
    <col min="11524" max="11524" width="27.6640625" customWidth="1"/>
    <col min="11525" max="11527" width="17.33203125" customWidth="1"/>
    <col min="11528" max="11528" width="30.44140625" customWidth="1"/>
    <col min="11780" max="11780" width="27.6640625" customWidth="1"/>
    <col min="11781" max="11783" width="17.33203125" customWidth="1"/>
    <col min="11784" max="11784" width="30.44140625" customWidth="1"/>
    <col min="12036" max="12036" width="27.6640625" customWidth="1"/>
    <col min="12037" max="12039" width="17.33203125" customWidth="1"/>
    <col min="12040" max="12040" width="30.44140625" customWidth="1"/>
    <col min="12292" max="12292" width="27.6640625" customWidth="1"/>
    <col min="12293" max="12295" width="17.33203125" customWidth="1"/>
    <col min="12296" max="12296" width="30.44140625" customWidth="1"/>
    <col min="12548" max="12548" width="27.6640625" customWidth="1"/>
    <col min="12549" max="12551" width="17.33203125" customWidth="1"/>
    <col min="12552" max="12552" width="30.44140625" customWidth="1"/>
    <col min="12804" max="12804" width="27.6640625" customWidth="1"/>
    <col min="12805" max="12807" width="17.33203125" customWidth="1"/>
    <col min="12808" max="12808" width="30.44140625" customWidth="1"/>
    <col min="13060" max="13060" width="27.6640625" customWidth="1"/>
    <col min="13061" max="13063" width="17.33203125" customWidth="1"/>
    <col min="13064" max="13064" width="30.44140625" customWidth="1"/>
    <col min="13316" max="13316" width="27.6640625" customWidth="1"/>
    <col min="13317" max="13319" width="17.33203125" customWidth="1"/>
    <col min="13320" max="13320" width="30.44140625" customWidth="1"/>
    <col min="13572" max="13572" width="27.6640625" customWidth="1"/>
    <col min="13573" max="13575" width="17.33203125" customWidth="1"/>
    <col min="13576" max="13576" width="30.44140625" customWidth="1"/>
    <col min="13828" max="13828" width="27.6640625" customWidth="1"/>
    <col min="13829" max="13831" width="17.33203125" customWidth="1"/>
    <col min="13832" max="13832" width="30.44140625" customWidth="1"/>
    <col min="14084" max="14084" width="27.6640625" customWidth="1"/>
    <col min="14085" max="14087" width="17.33203125" customWidth="1"/>
    <col min="14088" max="14088" width="30.44140625" customWidth="1"/>
    <col min="14340" max="14340" width="27.6640625" customWidth="1"/>
    <col min="14341" max="14343" width="17.33203125" customWidth="1"/>
    <col min="14344" max="14344" width="30.44140625" customWidth="1"/>
    <col min="14596" max="14596" width="27.6640625" customWidth="1"/>
    <col min="14597" max="14599" width="17.33203125" customWidth="1"/>
    <col min="14600" max="14600" width="30.44140625" customWidth="1"/>
    <col min="14852" max="14852" width="27.6640625" customWidth="1"/>
    <col min="14853" max="14855" width="17.33203125" customWidth="1"/>
    <col min="14856" max="14856" width="30.44140625" customWidth="1"/>
    <col min="15108" max="15108" width="27.6640625" customWidth="1"/>
    <col min="15109" max="15111" width="17.33203125" customWidth="1"/>
    <col min="15112" max="15112" width="30.44140625" customWidth="1"/>
    <col min="15364" max="15364" width="27.6640625" customWidth="1"/>
    <col min="15365" max="15367" width="17.33203125" customWidth="1"/>
    <col min="15368" max="15368" width="30.44140625" customWidth="1"/>
    <col min="15620" max="15620" width="27.6640625" customWidth="1"/>
    <col min="15621" max="15623" width="17.33203125" customWidth="1"/>
    <col min="15624" max="15624" width="30.44140625" customWidth="1"/>
    <col min="15876" max="15876" width="27.6640625" customWidth="1"/>
    <col min="15877" max="15879" width="17.33203125" customWidth="1"/>
    <col min="15880" max="15880" width="30.44140625" customWidth="1"/>
    <col min="16132" max="16132" width="27.6640625" customWidth="1"/>
    <col min="16133" max="16135" width="17.33203125" customWidth="1"/>
    <col min="16136" max="16136" width="30.44140625" customWidth="1"/>
  </cols>
  <sheetData>
    <row r="1" spans="1:9" s="82" customFormat="1" ht="15.55">
      <c r="A1" s="82" t="s">
        <v>22</v>
      </c>
      <c r="B1" s="82" t="s">
        <v>19</v>
      </c>
      <c r="C1" s="86">
        <v>2.5000000000000001E-2</v>
      </c>
      <c r="D1" s="86">
        <v>2.5000000000000001E-2</v>
      </c>
      <c r="E1" s="86">
        <v>2.5000000000000001E-2</v>
      </c>
      <c r="F1" s="86">
        <v>2.5000000000000001E-2</v>
      </c>
      <c r="G1" s="86">
        <v>2.5000000000000001E-2</v>
      </c>
    </row>
    <row r="2" spans="1:9" s="83" customFormat="1" ht="15.55">
      <c r="B2" s="83">
        <v>2025</v>
      </c>
      <c r="C2" s="83">
        <v>2026</v>
      </c>
      <c r="D2" s="83">
        <v>2027</v>
      </c>
      <c r="E2" s="83">
        <v>2028</v>
      </c>
      <c r="F2" s="83">
        <v>2029</v>
      </c>
      <c r="G2" s="83">
        <v>2030</v>
      </c>
    </row>
    <row r="3" spans="1:9" s="82" customFormat="1" ht="15.55">
      <c r="A3" s="82" t="s">
        <v>23</v>
      </c>
      <c r="B3" s="82">
        <v>15</v>
      </c>
      <c r="C3" s="87">
        <f>B3*(1+$C$1)</f>
        <v>15.374999999999998</v>
      </c>
      <c r="D3" s="87">
        <f>C3*(1+$D$1)</f>
        <v>15.759374999999997</v>
      </c>
      <c r="E3" s="87">
        <f t="shared" ref="E3:G6" si="0">D3*(1+$D$1)</f>
        <v>16.153359374999994</v>
      </c>
      <c r="F3" s="87">
        <f t="shared" si="0"/>
        <v>16.557193359374992</v>
      </c>
      <c r="G3" s="87">
        <f t="shared" si="0"/>
        <v>16.971123193359364</v>
      </c>
    </row>
    <row r="4" spans="1:9" s="82" customFormat="1" ht="15.55">
      <c r="A4" s="82" t="s">
        <v>122</v>
      </c>
      <c r="B4" s="82">
        <v>0</v>
      </c>
      <c r="C4" s="87">
        <f t="shared" ref="C4:C6" si="1">B4*(1+$C$1)</f>
        <v>0</v>
      </c>
      <c r="D4" s="87">
        <f t="shared" ref="D4:D6" si="2">C4*(1+$D$1)</f>
        <v>0</v>
      </c>
      <c r="E4" s="87">
        <f>D4*(1+$D$1)*2</f>
        <v>0</v>
      </c>
      <c r="F4" s="87">
        <f t="shared" si="0"/>
        <v>0</v>
      </c>
      <c r="G4" s="87">
        <f t="shared" si="0"/>
        <v>0</v>
      </c>
      <c r="H4" s="82" t="s">
        <v>24</v>
      </c>
      <c r="I4" s="82" t="s">
        <v>123</v>
      </c>
    </row>
    <row r="5" spans="1:9" s="82" customFormat="1" ht="15.55">
      <c r="A5" s="82" t="s">
        <v>25</v>
      </c>
      <c r="B5" s="82">
        <v>20</v>
      </c>
      <c r="C5" s="87">
        <f t="shared" si="1"/>
        <v>20.5</v>
      </c>
      <c r="D5" s="87">
        <f t="shared" si="2"/>
        <v>21.012499999999999</v>
      </c>
      <c r="E5" s="87">
        <f t="shared" si="0"/>
        <v>21.537812499999998</v>
      </c>
      <c r="F5" s="87">
        <f t="shared" si="0"/>
        <v>22.076257812499996</v>
      </c>
      <c r="G5" s="87">
        <f t="shared" si="0"/>
        <v>22.628164257812493</v>
      </c>
      <c r="H5" s="82" t="s">
        <v>26</v>
      </c>
    </row>
    <row r="6" spans="1:9" s="82" customFormat="1" ht="16.149999999999999" thickBot="1">
      <c r="A6" s="84" t="s">
        <v>27</v>
      </c>
      <c r="B6" s="84">
        <v>15</v>
      </c>
      <c r="C6" s="88">
        <f t="shared" si="1"/>
        <v>15.374999999999998</v>
      </c>
      <c r="D6" s="88">
        <f t="shared" si="2"/>
        <v>15.759374999999997</v>
      </c>
      <c r="E6" s="88">
        <f t="shared" si="0"/>
        <v>16.153359374999994</v>
      </c>
      <c r="F6" s="88">
        <f t="shared" si="0"/>
        <v>16.557193359374992</v>
      </c>
      <c r="G6" s="88">
        <f t="shared" si="0"/>
        <v>16.971123193359364</v>
      </c>
      <c r="H6" s="82" t="s">
        <v>144</v>
      </c>
    </row>
    <row r="7" spans="1:9" s="82" customFormat="1" ht="16.149999999999999" thickTop="1">
      <c r="B7" s="85">
        <f>SUM(B3:B6)</f>
        <v>50</v>
      </c>
      <c r="C7" s="89">
        <f>SUM(C3:C6)</f>
        <v>51.25</v>
      </c>
      <c r="D7" s="89">
        <f>SUM(D3:D6)</f>
        <v>52.531249999999993</v>
      </c>
      <c r="E7" s="89">
        <f t="shared" ref="E7:G7" si="3">SUM(E3:E6)</f>
        <v>53.844531249999989</v>
      </c>
      <c r="F7" s="89">
        <f t="shared" si="3"/>
        <v>55.19064453124998</v>
      </c>
      <c r="G7" s="89">
        <f t="shared" si="3"/>
        <v>56.570410644531222</v>
      </c>
    </row>
    <row r="8" spans="1:9" s="82" customFormat="1" ht="15.55"/>
    <row r="9" spans="1:9" s="82" customFormat="1" ht="15.55">
      <c r="A9" s="82" t="s">
        <v>28</v>
      </c>
    </row>
    <row r="10" spans="1:9" s="82" customFormat="1" ht="15.55">
      <c r="A10" s="82" t="s">
        <v>138</v>
      </c>
    </row>
    <row r="11" spans="1:9" s="82" customFormat="1" ht="15.55"/>
    <row r="12" spans="1:9">
      <c r="A12" t="s">
        <v>130</v>
      </c>
    </row>
    <row r="14" spans="1:9">
      <c r="B14" s="142" t="s">
        <v>137</v>
      </c>
      <c r="C14" s="142" t="s">
        <v>100</v>
      </c>
      <c r="D14" s="142" t="s">
        <v>101</v>
      </c>
    </row>
    <row r="15" spans="1:9">
      <c r="B15" s="142"/>
      <c r="C15" s="257">
        <v>1700</v>
      </c>
      <c r="D15" s="142"/>
    </row>
    <row r="16" spans="1:9">
      <c r="A16" t="s">
        <v>136</v>
      </c>
      <c r="B16">
        <v>300</v>
      </c>
      <c r="C16" s="110">
        <f>B16*1700</f>
        <v>510000</v>
      </c>
      <c r="D16" s="110">
        <f>C16/25</f>
        <v>20400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F3ED8-3C34-41F5-A68A-BC43A27DBEB1}">
  <sheetPr>
    <tabColor rgb="FF92D050"/>
  </sheetPr>
  <dimension ref="A1:M7"/>
  <sheetViews>
    <sheetView workbookViewId="0">
      <selection activeCell="O44" sqref="O44"/>
    </sheetView>
  </sheetViews>
  <sheetFormatPr defaultRowHeight="14.4"/>
  <cols>
    <col min="1" max="1" width="11.33203125" bestFit="1" customWidth="1"/>
    <col min="8" max="9" width="9" bestFit="1" customWidth="1"/>
    <col min="10" max="13" width="9.109375" bestFit="1" customWidth="1"/>
  </cols>
  <sheetData>
    <row r="1" spans="1:13">
      <c r="B1">
        <v>2025</v>
      </c>
      <c r="C1">
        <v>2026</v>
      </c>
      <c r="D1">
        <v>2027</v>
      </c>
      <c r="E1">
        <v>2028</v>
      </c>
      <c r="F1">
        <v>2029</v>
      </c>
      <c r="G1">
        <v>2030</v>
      </c>
    </row>
    <row r="2" spans="1:13">
      <c r="A2" t="s">
        <v>113</v>
      </c>
      <c r="B2">
        <v>0</v>
      </c>
      <c r="C2" s="110">
        <f>'P&amp;L market units'!G4</f>
        <v>6000</v>
      </c>
      <c r="D2" s="110">
        <f>'P&amp;L market units'!I4</f>
        <v>11550</v>
      </c>
      <c r="E2" s="110">
        <f>'P&amp;L market units'!K4</f>
        <v>15400</v>
      </c>
      <c r="F2" s="110">
        <f>'P&amp;L market units'!M4</f>
        <v>18150</v>
      </c>
      <c r="G2" s="110">
        <f>'P&amp;L market units'!O4</f>
        <v>24200</v>
      </c>
    </row>
    <row r="3" spans="1:13">
      <c r="A3" t="s">
        <v>112</v>
      </c>
      <c r="B3">
        <v>0</v>
      </c>
      <c r="C3" s="110">
        <f>'P&amp;L market units'!G13</f>
        <v>580.5</v>
      </c>
      <c r="D3" s="110">
        <f>'P&amp;L market units'!I13</f>
        <v>1290.12345</v>
      </c>
      <c r="E3" s="110">
        <f>'P&amp;L market units'!K13</f>
        <v>1875.783987</v>
      </c>
      <c r="F3" s="110">
        <f>'P&amp;L market units'!M13</f>
        <v>2292.6224772</v>
      </c>
      <c r="G3" s="110">
        <f>'P&amp;L market units'!O13</f>
        <v>3100.8615560405997</v>
      </c>
      <c r="H3" s="110">
        <f>B3*1000</f>
        <v>0</v>
      </c>
      <c r="I3" s="110">
        <f t="shared" ref="I3:M3" si="0">C3*1000</f>
        <v>580500</v>
      </c>
      <c r="J3" s="110">
        <f t="shared" si="0"/>
        <v>1290123.45</v>
      </c>
      <c r="K3" s="110">
        <f t="shared" si="0"/>
        <v>1875783.987</v>
      </c>
      <c r="L3" s="110">
        <f t="shared" si="0"/>
        <v>2292622.4772000001</v>
      </c>
      <c r="M3" s="110">
        <f t="shared" si="0"/>
        <v>3100861.5560405995</v>
      </c>
    </row>
    <row r="4" spans="1:13">
      <c r="A4" t="s">
        <v>108</v>
      </c>
      <c r="B4" s="140">
        <f>'P&amp;L market units'!E69</f>
        <v>10</v>
      </c>
      <c r="C4" s="140">
        <f>'P&amp;L market units'!G69</f>
        <v>322.62109999999996</v>
      </c>
      <c r="D4" s="140">
        <f>'P&amp;L market units'!I69</f>
        <v>508.43388774999994</v>
      </c>
      <c r="E4" s="140">
        <f>'P&amp;L market units'!K69</f>
        <v>652.84139348099995</v>
      </c>
      <c r="F4" s="140">
        <f>'P&amp;L market units'!M69</f>
        <v>678.52971671291994</v>
      </c>
      <c r="G4" s="140">
        <f>'P&amp;L market units'!O69</f>
        <v>705.3209225722004</v>
      </c>
    </row>
    <row r="5" spans="1:13">
      <c r="A5" t="s">
        <v>109</v>
      </c>
      <c r="B5" s="140">
        <f>'P&amp;L market units'!E25</f>
        <v>-10</v>
      </c>
      <c r="C5" s="140">
        <f>'P&amp;L market units'!G25</f>
        <v>-90.121099999999956</v>
      </c>
      <c r="D5" s="140">
        <f>'P&amp;L market units'!I25</f>
        <v>7.6895622500001082</v>
      </c>
      <c r="E5" s="140">
        <f>'P&amp;L market units'!K25</f>
        <v>97.94259351900007</v>
      </c>
      <c r="F5" s="140">
        <f>'P&amp;L market units'!M25</f>
        <v>238.09276048708011</v>
      </c>
      <c r="G5" s="140">
        <f>'P&amp;L market units'!O25</f>
        <v>534.54063346839928</v>
      </c>
    </row>
    <row r="6" spans="1:13">
      <c r="A6" t="s">
        <v>111</v>
      </c>
      <c r="B6" s="142" t="s">
        <v>58</v>
      </c>
      <c r="C6" s="141">
        <f>C4/C3</f>
        <v>0.5557641688199827</v>
      </c>
      <c r="D6" s="141">
        <f t="shared" ref="D6:G6" si="1">D4/D3</f>
        <v>0.3940970825311329</v>
      </c>
      <c r="E6" s="141">
        <f t="shared" si="1"/>
        <v>0.34803655325212024</v>
      </c>
      <c r="F6" s="141">
        <f t="shared" si="1"/>
        <v>0.29596225434447204</v>
      </c>
      <c r="G6" s="141">
        <f t="shared" si="1"/>
        <v>0.2274596623632576</v>
      </c>
    </row>
    <row r="7" spans="1:13">
      <c r="A7" t="s">
        <v>110</v>
      </c>
      <c r="B7" s="142" t="s">
        <v>58</v>
      </c>
      <c r="C7" s="141">
        <f>C5/C3</f>
        <v>-0.15524737295434962</v>
      </c>
      <c r="D7" s="141">
        <f t="shared" ref="D7:G7" si="2">D5/D3</f>
        <v>5.9603305792171341E-3</v>
      </c>
      <c r="E7" s="141">
        <f t="shared" si="2"/>
        <v>5.2214217733910141E-2</v>
      </c>
      <c r="F7" s="141">
        <f t="shared" si="2"/>
        <v>0.10385170818784996</v>
      </c>
      <c r="G7" s="141">
        <f t="shared" si="2"/>
        <v>0.17238455306948264</v>
      </c>
    </row>
  </sheetData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bf781f77-403a-41b0-bc8d-aef742fcc54e}" enabled="0" method="" siteId="{bf781f77-403a-41b0-bc8d-aef742fcc54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P&amp;L market units</vt:lpstr>
      <vt:lpstr>Sales-ASP est</vt:lpstr>
      <vt:lpstr>CAPEX</vt:lpstr>
      <vt:lpstr>Warehouse in Prague</vt:lpstr>
      <vt:lpstr>Graphs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ŘEHA Alexander</dc:creator>
  <cp:lastModifiedBy>ŘEHA Alexander</cp:lastModifiedBy>
  <dcterms:created xsi:type="dcterms:W3CDTF">2024-11-05T20:48:24Z</dcterms:created>
  <dcterms:modified xsi:type="dcterms:W3CDTF">2025-09-12T23:00:17Z</dcterms:modified>
</cp:coreProperties>
</file>